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SMA\"/>
    </mc:Choice>
  </mc:AlternateContent>
  <xr:revisionPtr revIDLastSave="0" documentId="13_ncr:1_{F0D0C3A6-84F7-46C6-8505-78533209B498}" xr6:coauthVersionLast="47" xr6:coauthVersionMax="47" xr10:uidLastSave="{00000000-0000-0000-0000-000000000000}"/>
  <bookViews>
    <workbookView xWindow="28680" yWindow="1320" windowWidth="29040" windowHeight="15720" xr2:uid="{00000000-000D-0000-FFFF-FFFF00000000}"/>
  </bookViews>
  <sheets>
    <sheet name="DETALLADO" sheetId="12" r:id="rId1"/>
    <sheet name=" agente con arma" sheetId="13" r:id="rId2"/>
    <sheet name="agente sin arma" sheetId="14" r:id="rId3"/>
    <sheet name="apus" sheetId="1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[1]Compra_54MOD!#REF!</definedName>
    <definedName name="_xlnm.Print_Area" localSheetId="0">DETALLADO!$A$1:$L$50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4" l="1"/>
  <c r="E6" i="13"/>
  <c r="K24" i="12" l="1"/>
  <c r="K21" i="12"/>
  <c r="K19" i="12"/>
  <c r="E10" i="14"/>
  <c r="E9" i="14"/>
  <c r="E11" i="14" s="1"/>
  <c r="E8" i="14"/>
  <c r="E7" i="14"/>
  <c r="G39" i="15"/>
  <c r="G40" i="15" s="1"/>
  <c r="K20" i="12" s="1"/>
  <c r="D33" i="15"/>
  <c r="G33" i="15" s="1"/>
  <c r="D32" i="15"/>
  <c r="G32" i="15" s="1"/>
  <c r="G31" i="15"/>
  <c r="D31" i="15"/>
  <c r="D30" i="15"/>
  <c r="G30" i="15" s="1"/>
  <c r="G34" i="15" s="1"/>
  <c r="G25" i="15"/>
  <c r="G26" i="15" s="1"/>
  <c r="K22" i="12" s="1"/>
  <c r="F20" i="15"/>
  <c r="G20" i="15" s="1"/>
  <c r="G19" i="15"/>
  <c r="F19" i="15"/>
  <c r="G18" i="15"/>
  <c r="G17" i="15"/>
  <c r="F16" i="15"/>
  <c r="G16" i="15" s="1"/>
  <c r="G15" i="15"/>
  <c r="G10" i="15"/>
  <c r="G9" i="15"/>
  <c r="G8" i="15"/>
  <c r="G7" i="15"/>
  <c r="G6" i="15"/>
  <c r="G5" i="15"/>
  <c r="G4" i="15"/>
  <c r="G3" i="15"/>
  <c r="G11" i="15" s="1"/>
  <c r="F3" i="15"/>
  <c r="E12" i="14" l="1"/>
  <c r="E21" i="14"/>
  <c r="G21" i="15"/>
  <c r="E17" i="14" l="1"/>
  <c r="E16" i="14"/>
  <c r="E15" i="14"/>
  <c r="E18" i="14" l="1"/>
  <c r="E20" i="14" s="1"/>
  <c r="E22" i="14" s="1"/>
  <c r="E23" i="14" s="1"/>
  <c r="E24" i="14" l="1"/>
  <c r="E10" i="13" l="1"/>
  <c r="E9" i="13"/>
  <c r="E11" i="13" s="1"/>
  <c r="E8" i="13"/>
  <c r="E7" i="13"/>
  <c r="E12" i="13" l="1"/>
  <c r="E15" i="13"/>
  <c r="E21" i="13"/>
  <c r="E17" i="13" l="1"/>
  <c r="E16" i="13"/>
  <c r="E18" i="13" l="1"/>
  <c r="E20" i="13" s="1"/>
  <c r="E22" i="13" l="1"/>
  <c r="E23" i="13" s="1"/>
  <c r="K17" i="12" s="1"/>
  <c r="E25" i="13" l="1"/>
  <c r="E24" i="13"/>
  <c r="E26" i="13" l="1"/>
  <c r="K16" i="12" s="1"/>
  <c r="L27" i="12" l="1"/>
  <c r="L28" i="12"/>
  <c r="L29" i="12"/>
  <c r="L30" i="12"/>
  <c r="L26" i="12"/>
  <c r="L24" i="12"/>
  <c r="L20" i="12"/>
  <c r="L21" i="12"/>
  <c r="L22" i="12"/>
  <c r="L19" i="12"/>
  <c r="L17" i="12"/>
  <c r="L16" i="12"/>
  <c r="L31" i="12" l="1"/>
  <c r="L33" i="12" l="1"/>
  <c r="L32" i="12"/>
  <c r="L34" i="12" l="1"/>
  <c r="L35" i="12" s="1"/>
  <c r="L36" i="12" s="1"/>
</calcChain>
</file>

<file path=xl/sharedStrings.xml><?xml version="1.0" encoding="utf-8"?>
<sst xmlns="http://schemas.openxmlformats.org/spreadsheetml/2006/main" count="197" uniqueCount="115">
  <si>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</si>
  <si>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</si>
  <si>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</si>
  <si>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</si>
  <si>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</si>
  <si>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</si>
  <si>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</si>
  <si>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</si>
  <si>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</si>
  <si>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</si>
  <si>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</si>
  <si>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</si>
  <si>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</si>
  <si>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</si>
  <si>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</si>
  <si>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</si>
  <si>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</si>
  <si>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</si>
  <si>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</si>
  <si>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</si>
  <si>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</si>
  <si>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</si>
  <si>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</si>
  <si>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GLB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</si>
  <si>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</si>
  <si>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</si>
  <si>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</si>
  <si>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</si>
  <si>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</si>
  <si>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</si>
  <si>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</si>
  <si>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</si>
  <si>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</si>
  <si>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</si>
  <si>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</si>
  <si>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</si>
  <si>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</si>
  <si>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</si>
  <si>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</si>
  <si>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</si>
  <si>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</si>
  <si>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</si>
  <si>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</si>
  <si>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</si>
  <si>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</si>
  <si>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</si>
  <si>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</si>
  <si>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</si>
  <si>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</si>
  <si>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</si>
  <si>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</si>
  <si>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</si>
  <si>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RETENCION POR GARANTIA DEL 5%</t>
  </si>
  <si>
    <t>SI</t>
  </si>
  <si>
    <t>Agente  sin Armas</t>
  </si>
  <si>
    <t xml:space="preserve">TIEMPO DE SERVICIO </t>
  </si>
  <si>
    <t>7 MESES</t>
  </si>
  <si>
    <t>NO</t>
  </si>
  <si>
    <t>FECHA DE INICIO</t>
  </si>
  <si>
    <t xml:space="preserve">TIPO DE CONTRATO </t>
  </si>
  <si>
    <t>GASTOS GENERALES</t>
  </si>
  <si>
    <t>UTILIDADES</t>
  </si>
  <si>
    <t>Salario basico</t>
  </si>
  <si>
    <t>Asignación familiar</t>
  </si>
  <si>
    <t>Bonificacion Servicio Nocturno</t>
  </si>
  <si>
    <t>Feriados</t>
  </si>
  <si>
    <t>Total Remuneraciones</t>
  </si>
  <si>
    <t xml:space="preserve">Gratificaciones   </t>
  </si>
  <si>
    <t xml:space="preserve">Vacaciones         </t>
  </si>
  <si>
    <t xml:space="preserve">C.T.S.                      </t>
  </si>
  <si>
    <t>Total Beneficios Sociales</t>
  </si>
  <si>
    <t>SUB TOTAL TRABAJADOR (1+4)</t>
  </si>
  <si>
    <t>TOTAL DE COSTO DE PERSONAL</t>
  </si>
  <si>
    <t xml:space="preserve">ARMA Y EQUIPAMIENTO </t>
  </si>
  <si>
    <t>GASTOS OPERATIVOS</t>
  </si>
  <si>
    <t>TOTAL</t>
  </si>
  <si>
    <t>-Horas extras al 25%</t>
  </si>
  <si>
    <t>-Horas extras al 35%</t>
  </si>
  <si>
    <t>DESCANSERO</t>
  </si>
  <si>
    <t>A. Materiales, herramientas de campo</t>
  </si>
  <si>
    <t>Insumo</t>
  </si>
  <si>
    <t>und</t>
  </si>
  <si>
    <t>cantidad</t>
  </si>
  <si>
    <t>c/personal</t>
  </si>
  <si>
    <t>PU</t>
  </si>
  <si>
    <t>subtotal</t>
  </si>
  <si>
    <t>Detector de metales (Garret).</t>
  </si>
  <si>
    <t>Linterna de mano</t>
  </si>
  <si>
    <t>Binoculares de largo alcance</t>
  </si>
  <si>
    <t>Silbato</t>
  </si>
  <si>
    <t>Celular móvil con cámara y acceso a internet</t>
  </si>
  <si>
    <t>Garita con silla y escritorio</t>
  </si>
  <si>
    <t>Cuaderno de ocurrencias diarias</t>
  </si>
  <si>
    <t>Mobiliario, útiles de escritorio, etc.</t>
  </si>
  <si>
    <t>B. EPPs y Señalética</t>
  </si>
  <si>
    <t>Botas de seguridad</t>
  </si>
  <si>
    <t>Casco</t>
  </si>
  <si>
    <t>Tapanuca</t>
  </si>
  <si>
    <t>Barbiquejo</t>
  </si>
  <si>
    <t>Lentes</t>
  </si>
  <si>
    <t>Tapón auditivo</t>
  </si>
  <si>
    <t>C. Uniforme</t>
  </si>
  <si>
    <t>Uniforme Completo segú TDR</t>
  </si>
  <si>
    <t>D. Alimentación del personal</t>
  </si>
  <si>
    <t>Menú</t>
  </si>
  <si>
    <t>dia</t>
  </si>
  <si>
    <t>Envases</t>
  </si>
  <si>
    <t>Cena</t>
  </si>
  <si>
    <t>D. Camaras de seguridad</t>
  </si>
  <si>
    <t>Condicion no remunerativo</t>
  </si>
  <si>
    <t>4 camaras</t>
  </si>
  <si>
    <t xml:space="preserve"> Agente sin arma</t>
  </si>
  <si>
    <t>Agente con arma</t>
  </si>
  <si>
    <t>RESGUARDO, SEGURIDAD Y PROTECCION PRISMA S.A.C</t>
  </si>
  <si>
    <t>JUAN PABLO II CUARTA ZONA - SAN JUAN DE LURIGANCHO -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</si>
</sst>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_ &quot;S/&quot;* #,##0.00_ ;_ &quot;S/&quot;* \-#,##0.00_ ;_ &quot;S/&quot;* &quot;-&quot;??_ ;_ @_ "/>
    <numFmt numFmtId="169" formatCode="&quot;S/&quot;\ #,##0.00"/>
    <numFmt numFmtId="170" formatCode="0.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6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5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14" fontId="41" fillId="0" borderId="29" xfId="33" applyNumberFormat="1" applyFont="1" applyBorder="1" applyAlignment="1">
      <alignment wrapText="1"/>
    </xf>
    <xf numFmtId="14" fontId="62" fillId="0" borderId="15" xfId="215" applyNumberFormat="1" applyFont="1" applyFill="1" applyBorder="1" applyAlignment="1">
      <alignment horizontal="center" vertical="center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6" applyFont="1" applyBorder="1" applyAlignment="1">
      <alignment vertical="center" wrapText="1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3" fillId="0" borderId="0" xfId="33" applyFont="1"/>
    <xf numFmtId="0" fontId="74" fillId="0" borderId="0" xfId="33" applyFont="1"/>
    <xf numFmtId="0" fontId="72" fillId="0" borderId="0" xfId="33" applyFont="1" applyAlignment="1">
      <alignment vertical="center"/>
    </xf>
    <xf numFmtId="0" fontId="75" fillId="0" borderId="57" xfId="33" applyFont="1" applyBorder="1" applyAlignment="1">
      <alignment horizontal="center" vertical="center"/>
    </xf>
    <xf numFmtId="9" fontId="75" fillId="0" borderId="57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16" fillId="33" borderId="0" xfId="0" applyFont="1" applyFill="1"/>
    <xf numFmtId="0" fontId="0" fillId="33" borderId="0" xfId="0" applyFill="1"/>
    <xf numFmtId="44" fontId="0" fillId="33" borderId="0" xfId="218" applyFont="1" applyFill="1"/>
    <xf numFmtId="0" fontId="0" fillId="33" borderId="0" xfId="0" applyFill="1" applyAlignment="1">
      <alignment horizontal="center"/>
    </xf>
    <xf numFmtId="0" fontId="0" fillId="33" borderId="0" xfId="0" quotePrefix="1" applyFill="1"/>
    <xf numFmtId="1" fontId="0" fillId="33" borderId="0" xfId="0" applyNumberFormat="1" applyFill="1"/>
    <xf numFmtId="44" fontId="16" fillId="33" borderId="0" xfId="218" applyFont="1" applyFill="1"/>
    <xf numFmtId="44" fontId="0" fillId="33" borderId="0" xfId="0" applyNumberFormat="1" applyFill="1"/>
    <xf numFmtId="9" fontId="0" fillId="33" borderId="0" xfId="0" applyNumberFormat="1" applyFill="1" applyAlignment="1">
      <alignment horizontal="center"/>
    </xf>
    <xf numFmtId="168" fontId="0" fillId="33" borderId="0" xfId="0" applyNumberFormat="1" applyFill="1"/>
    <xf numFmtId="0" fontId="16" fillId="0" borderId="0" xfId="0" applyFont="1"/>
    <xf numFmtId="169" fontId="0" fillId="0" borderId="0" xfId="217" applyNumberFormat="1" applyFont="1"/>
    <xf numFmtId="0" fontId="16" fillId="37" borderId="0" xfId="0" applyFont="1" applyFill="1"/>
    <xf numFmtId="169" fontId="16" fillId="37" borderId="0" xfId="217" applyNumberFormat="1" applyFont="1" applyFill="1"/>
    <xf numFmtId="169" fontId="0" fillId="0" borderId="0" xfId="217" applyNumberFormat="1" applyFont="1" applyAlignment="1"/>
    <xf numFmtId="169" fontId="0" fillId="0" borderId="0" xfId="0" applyNumberFormat="1"/>
    <xf numFmtId="169" fontId="16" fillId="0" borderId="0" xfId="217" applyNumberFormat="1" applyFont="1"/>
    <xf numFmtId="169" fontId="16" fillId="37" borderId="0" xfId="218" applyNumberFormat="1" applyFont="1" applyFill="1"/>
    <xf numFmtId="170" fontId="0" fillId="0" borderId="0" xfId="0" applyNumberFormat="1"/>
    <xf numFmtId="44" fontId="16" fillId="0" borderId="0" xfId="218" applyFont="1" applyFill="1"/>
    <xf numFmtId="14" fontId="75" fillId="0" borderId="57" xfId="33" applyNumberFormat="1" applyFont="1" applyBorder="1" applyAlignment="1">
      <alignment horizontal="center" vertical="center"/>
    </xf>
    <xf numFmtId="0" fontId="75" fillId="0" borderId="57" xfId="33" applyFont="1" applyBorder="1" applyAlignment="1">
      <alignment horizontal="center" vertical="center"/>
    </xf>
    <xf numFmtId="0" fontId="75" fillId="0" borderId="33" xfId="33" applyFont="1" applyBorder="1" applyAlignment="1">
      <alignment horizontal="center" vertical="center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69" fillId="36" borderId="53" xfId="0" applyNumberFormat="1" applyFont="1" applyFill="1" applyBorder="1" applyAlignment="1">
      <alignment horizontal="left" vertical="center" wrapText="1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59" fillId="0" borderId="40" xfId="0" applyNumberFormat="1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0" fontId="64" fillId="35" borderId="58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59" xfId="33" applyFont="1" applyFill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/>
    </xf>
    <xf numFmtId="0" fontId="75" fillId="33" borderId="33" xfId="33" applyFont="1" applyFill="1" applyBorder="1" applyAlignment="1">
      <alignment horizontal="left" vertical="center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9" fontId="75" fillId="0" borderId="55" xfId="33" applyNumberFormat="1" applyFont="1" applyBorder="1" applyAlignment="1">
      <alignment horizontal="center" vertical="center"/>
    </xf>
    <xf numFmtId="0" fontId="75" fillId="0" borderId="21" xfId="33" applyFont="1" applyBorder="1" applyAlignment="1">
      <alignment vertical="center"/>
    </xf>
    <xf numFmtId="0" fontId="75" fillId="0" borderId="20" xfId="33" applyFont="1" applyBorder="1" applyAlignment="1">
      <alignment vertical="center"/>
    </xf>
    <xf numFmtId="0" fontId="75" fillId="0" borderId="27" xfId="33" applyFont="1" applyBorder="1" applyAlignment="1">
      <alignment vertical="center"/>
    </xf>
    <xf numFmtId="0" fontId="75" fillId="0" borderId="33" xfId="33" applyFont="1" applyBorder="1" applyAlignment="1">
      <alignment vertical="center"/>
    </xf>
    <xf numFmtId="0" fontId="75" fillId="0" borderId="21" xfId="33" applyFont="1" applyBorder="1" applyAlignment="1">
      <alignment horizontal="left" vertical="center"/>
    </xf>
    <xf numFmtId="0" fontId="75" fillId="0" borderId="20" xfId="33" applyFont="1" applyBorder="1" applyAlignment="1">
      <alignment horizontal="left" vertical="center"/>
    </xf>
    <xf numFmtId="0" fontId="75" fillId="0" borderId="27" xfId="33" applyFont="1" applyBorder="1" applyAlignment="1">
      <alignment horizontal="left"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Alignment="1">
      <alignment horizontal="center" vertical="center"/>
    </xf>
    <xf numFmtId="1" fontId="16" fillId="33" borderId="0" xfId="0" applyNumberFormat="1" applyFont="1" applyFill="1" applyAlignment="1">
      <alignment horizontal="center"/>
    </xf>
  </cellXfs>
  <cellStyles count="219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7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" xfId="218" builtinId="4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132565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  <xdr:twoCellAnchor editAs="oneCell">
    <xdr:from>
      <xdr:col>10</xdr:col>
      <xdr:colOff>859155</xdr:colOff>
      <xdr:row>40</xdr:row>
      <xdr:rowOff>77559</xdr:rowOff>
    </xdr:from>
    <xdr:to>
      <xdr:col>11</xdr:col>
      <xdr:colOff>2122714</xdr:colOff>
      <xdr:row>49</xdr:row>
      <xdr:rowOff>127674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301650-FF75-4AD1-EE9C-508F8DFD0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38834" y="13330916"/>
          <a:ext cx="2460987" cy="24994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resumen OK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54"/>
  <sheetViews>
    <sheetView showGridLines="0" tabSelected="1" zoomScale="70" zoomScaleNormal="70" workbookViewId="0">
      <selection activeCell="R40" sqref="R40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7.33203125" style="1" customWidth="1"/>
    <col min="5" max="5" width="22.44140625" style="1" customWidth="1"/>
    <col min="6" max="6" width="17.5546875" style="1" customWidth="1"/>
    <col min="7" max="7" width="23.109375" style="1" customWidth="1"/>
    <col min="8" max="8" width="22" style="1" customWidth="1"/>
    <col min="9" max="9" width="11.6640625" style="1" customWidth="1"/>
    <col min="10" max="10" width="13" style="1" customWidth="1"/>
    <col min="11" max="11" width="17.33203125" style="1" customWidth="1"/>
    <col min="12" max="12" width="32.33203125" style="1" customWidth="1"/>
  </cols>
  <sheetData>
    <row r="1" spans="1:12" ht="38.25" customHeight="1">
      <c r="A1" s="97"/>
      <c r="B1" s="98"/>
      <c r="C1" s="98"/>
      <c r="D1" s="98"/>
      <c r="E1" s="101" t="s">
        <v>0</v>
      </c>
      <c r="F1" s="102"/>
      <c r="G1" s="102"/>
      <c r="H1" s="102"/>
      <c r="I1" s="102"/>
      <c r="J1" s="103"/>
      <c r="K1" s="82"/>
      <c r="L1" s="83"/>
    </row>
    <row r="2" spans="1:12" ht="38.25" customHeight="1">
      <c r="A2" s="99"/>
      <c r="B2" s="100"/>
      <c r="C2" s="100"/>
      <c r="D2" s="100"/>
      <c r="E2" s="104"/>
      <c r="F2" s="105"/>
      <c r="G2" s="105"/>
      <c r="H2" s="105"/>
      <c r="I2" s="105"/>
      <c r="J2" s="106"/>
      <c r="K2" s="84"/>
      <c r="L2" s="85"/>
    </row>
    <row r="3" spans="1:12">
      <c r="A3" s="99"/>
      <c r="B3" s="100"/>
      <c r="C3" s="100"/>
      <c r="D3" s="100"/>
      <c r="E3" s="104"/>
      <c r="F3" s="105"/>
      <c r="G3" s="105"/>
      <c r="H3" s="105"/>
      <c r="I3" s="105"/>
      <c r="J3" s="106"/>
      <c r="K3" s="86" t="s">
        <v>1</v>
      </c>
      <c r="L3" s="87"/>
    </row>
    <row r="4" spans="1:12">
      <c r="A4" s="99"/>
      <c r="B4" s="100"/>
      <c r="C4" s="100"/>
      <c r="D4" s="100"/>
      <c r="E4" s="104"/>
      <c r="F4" s="105"/>
      <c r="G4" s="105"/>
      <c r="H4" s="105"/>
      <c r="I4" s="105"/>
      <c r="J4" s="106"/>
      <c r="K4" s="88" t="s">
        <v>2</v>
      </c>
      <c r="L4" s="90"/>
    </row>
    <row r="5" spans="1:12">
      <c r="A5" s="92" t="s">
        <v>3</v>
      </c>
      <c r="B5" s="93"/>
      <c r="C5" s="93"/>
      <c r="D5" s="93"/>
      <c r="E5" s="104"/>
      <c r="F5" s="105"/>
      <c r="G5" s="105"/>
      <c r="H5" s="105"/>
      <c r="I5" s="105"/>
      <c r="J5" s="106"/>
      <c r="K5" s="89"/>
      <c r="L5" s="91"/>
    </row>
    <row r="6" spans="1:12" ht="15" thickBot="1">
      <c r="A6" s="110" t="s">
        <v>4</v>
      </c>
      <c r="B6" s="111"/>
      <c r="C6" s="111"/>
      <c r="D6" s="111"/>
      <c r="E6" s="107"/>
      <c r="F6" s="108"/>
      <c r="G6" s="108"/>
      <c r="H6" s="108"/>
      <c r="I6" s="108"/>
      <c r="J6" s="109"/>
      <c r="K6" s="34"/>
      <c r="L6" s="15"/>
    </row>
    <row r="7" spans="1:12">
      <c r="A7" s="112" t="s">
        <v>5</v>
      </c>
      <c r="B7" s="113"/>
      <c r="C7" s="113"/>
      <c r="D7" s="113"/>
      <c r="E7" s="22"/>
      <c r="F7" s="22"/>
      <c r="G7" s="22"/>
      <c r="H7" s="22"/>
      <c r="I7" s="22"/>
      <c r="J7" s="22"/>
      <c r="K7" s="6"/>
      <c r="L7" s="7"/>
    </row>
    <row r="8" spans="1:12">
      <c r="A8" s="94" t="s">
        <v>6</v>
      </c>
      <c r="B8" s="95"/>
      <c r="C8" s="95"/>
      <c r="D8" s="95"/>
      <c r="E8" s="96" t="s">
        <v>113</v>
      </c>
      <c r="F8" s="96"/>
      <c r="G8" s="96"/>
      <c r="H8" s="96"/>
      <c r="I8" s="96"/>
      <c r="J8" s="96"/>
      <c r="K8" s="17"/>
      <c r="L8" s="18"/>
    </row>
    <row r="9" spans="1:12">
      <c r="A9" s="94" t="s">
        <v>7</v>
      </c>
      <c r="B9" s="95"/>
      <c r="C9" s="95"/>
      <c r="D9" s="95"/>
      <c r="E9" s="96" t="s">
        <v>114</v>
      </c>
      <c r="F9" s="96"/>
      <c r="G9" s="96"/>
      <c r="H9" s="96"/>
      <c r="I9" s="96"/>
      <c r="J9" s="96"/>
      <c r="K9" s="17"/>
      <c r="L9" s="18"/>
    </row>
    <row r="10" spans="1:12">
      <c r="A10" s="94" t="s">
        <v>8</v>
      </c>
      <c r="B10" s="95"/>
      <c r="C10" s="95"/>
      <c r="D10" s="95"/>
      <c r="E10" s="96"/>
      <c r="F10" s="96"/>
      <c r="G10" s="96"/>
      <c r="H10" s="96"/>
      <c r="I10" s="96"/>
      <c r="J10" s="96"/>
      <c r="K10" s="17"/>
      <c r="L10" s="18"/>
    </row>
    <row r="11" spans="1:12">
      <c r="A11" s="94" t="s">
        <v>9</v>
      </c>
      <c r="B11" s="95"/>
      <c r="C11" s="95"/>
      <c r="D11" s="95"/>
      <c r="E11" s="96">
        <v>907128639</v>
      </c>
      <c r="F11" s="96"/>
      <c r="G11" s="96"/>
      <c r="H11" s="96"/>
      <c r="I11" s="96"/>
      <c r="J11" s="96"/>
      <c r="K11" s="17"/>
      <c r="L11" s="18"/>
    </row>
    <row r="12" spans="1:12" ht="31.5" customHeight="1" thickBot="1">
      <c r="A12" s="16"/>
      <c r="B12" s="3"/>
      <c r="C12" s="3"/>
      <c r="D12" s="3"/>
      <c r="E12" s="3"/>
      <c r="F12" s="3"/>
      <c r="G12" s="3"/>
      <c r="H12" s="3"/>
      <c r="I12" s="3"/>
      <c r="J12" s="35"/>
      <c r="K12" s="35" t="s">
        <v>10</v>
      </c>
      <c r="L12" s="36"/>
    </row>
    <row r="13" spans="1:12" ht="42.6" thickBot="1">
      <c r="A13" s="20" t="s">
        <v>11</v>
      </c>
      <c r="B13" s="21" t="s">
        <v>12</v>
      </c>
      <c r="C13" s="21"/>
      <c r="D13" s="21" t="s">
        <v>13</v>
      </c>
      <c r="E13" s="125" t="s">
        <v>14</v>
      </c>
      <c r="F13" s="125"/>
      <c r="G13" s="125"/>
      <c r="H13" s="125"/>
      <c r="I13" s="125"/>
      <c r="J13" s="125"/>
      <c r="K13" s="23" t="s">
        <v>15</v>
      </c>
      <c r="L13" s="24" t="s">
        <v>16</v>
      </c>
    </row>
    <row r="14" spans="1:12" ht="31.5" customHeight="1">
      <c r="A14" s="126" t="s">
        <v>27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8"/>
    </row>
    <row r="15" spans="1:12" ht="30" customHeight="1">
      <c r="A15" s="41"/>
      <c r="B15" s="42"/>
      <c r="C15" s="42"/>
      <c r="D15" s="42"/>
      <c r="E15" s="114" t="s">
        <v>28</v>
      </c>
      <c r="F15" s="114"/>
      <c r="G15" s="114"/>
      <c r="H15" s="114"/>
      <c r="I15" s="114"/>
      <c r="J15" s="114"/>
      <c r="K15" s="45"/>
      <c r="L15" s="44"/>
    </row>
    <row r="16" spans="1:12" ht="30" customHeight="1">
      <c r="A16" s="25"/>
      <c r="B16" s="26" t="s">
        <v>29</v>
      </c>
      <c r="C16" s="26">
        <v>7</v>
      </c>
      <c r="D16" s="27">
        <v>5</v>
      </c>
      <c r="E16" s="115" t="s">
        <v>30</v>
      </c>
      <c r="F16" s="116"/>
      <c r="G16" s="116"/>
      <c r="H16" s="116"/>
      <c r="I16" s="116"/>
      <c r="J16" s="117"/>
      <c r="K16" s="28">
        <f>+' agente con arma'!E26</f>
        <v>3836.1</v>
      </c>
      <c r="L16" s="29">
        <f>+D16*C16*K16</f>
        <v>134263.5</v>
      </c>
    </row>
    <row r="17" spans="1:12" ht="30" customHeight="1">
      <c r="A17" s="25"/>
      <c r="B17" s="26" t="s">
        <v>29</v>
      </c>
      <c r="C17" s="26">
        <v>7</v>
      </c>
      <c r="D17" s="27">
        <v>3</v>
      </c>
      <c r="E17" s="115" t="s">
        <v>54</v>
      </c>
      <c r="F17" s="116"/>
      <c r="G17" s="116"/>
      <c r="H17" s="116"/>
      <c r="I17" s="116"/>
      <c r="J17" s="117"/>
      <c r="K17" s="28">
        <f>+' agente con arma'!E23</f>
        <v>3688.5593402777781</v>
      </c>
      <c r="L17" s="29">
        <f>+D17*C17*K17</f>
        <v>77459.746145833342</v>
      </c>
    </row>
    <row r="18" spans="1:12" ht="30" customHeight="1">
      <c r="A18" s="41"/>
      <c r="B18" s="42"/>
      <c r="C18" s="42"/>
      <c r="D18" s="43"/>
      <c r="E18" s="114" t="s">
        <v>31</v>
      </c>
      <c r="F18" s="114"/>
      <c r="G18" s="114"/>
      <c r="H18" s="114"/>
      <c r="I18" s="114"/>
      <c r="J18" s="114"/>
      <c r="K18" s="45"/>
      <c r="L18" s="44"/>
    </row>
    <row r="19" spans="1:12" ht="30" customHeight="1">
      <c r="A19" s="25"/>
      <c r="B19" s="26" t="s">
        <v>32</v>
      </c>
      <c r="C19" s="26">
        <v>1</v>
      </c>
      <c r="D19" s="27">
        <v>1</v>
      </c>
      <c r="E19" s="115" t="s">
        <v>33</v>
      </c>
      <c r="F19" s="116"/>
      <c r="G19" s="116"/>
      <c r="H19" s="116"/>
      <c r="I19" s="116"/>
      <c r="J19" s="117"/>
      <c r="K19" s="28">
        <f>+apus!G11</f>
        <v>5713.04</v>
      </c>
      <c r="L19" s="29">
        <f>+D19*C19*K19</f>
        <v>5713.04</v>
      </c>
    </row>
    <row r="20" spans="1:12" ht="30" customHeight="1">
      <c r="A20" s="25"/>
      <c r="B20" s="26" t="s">
        <v>32</v>
      </c>
      <c r="C20" s="26">
        <v>1</v>
      </c>
      <c r="D20" s="27">
        <v>1</v>
      </c>
      <c r="E20" s="115" t="s">
        <v>34</v>
      </c>
      <c r="F20" s="116"/>
      <c r="G20" s="116"/>
      <c r="H20" s="116"/>
      <c r="I20" s="116"/>
      <c r="J20" s="117"/>
      <c r="K20" s="28">
        <f>+apus!G40</f>
        <v>5000</v>
      </c>
      <c r="L20" s="29">
        <f t="shared" ref="L20:L22" si="0">+D20*C20*K20</f>
        <v>5000</v>
      </c>
    </row>
    <row r="21" spans="1:12" ht="30" customHeight="1">
      <c r="A21" s="25"/>
      <c r="B21" s="26" t="s">
        <v>32</v>
      </c>
      <c r="C21" s="26">
        <v>1</v>
      </c>
      <c r="D21" s="27">
        <v>1</v>
      </c>
      <c r="E21" s="115" t="s">
        <v>35</v>
      </c>
      <c r="F21" s="116"/>
      <c r="G21" s="116"/>
      <c r="H21" s="116"/>
      <c r="I21" s="116"/>
      <c r="J21" s="117"/>
      <c r="K21" s="28">
        <f>+apus!G21</f>
        <v>3483.97</v>
      </c>
      <c r="L21" s="29">
        <f t="shared" si="0"/>
        <v>3483.97</v>
      </c>
    </row>
    <row r="22" spans="1:12" ht="30" customHeight="1">
      <c r="A22" s="25"/>
      <c r="B22" s="26" t="s">
        <v>32</v>
      </c>
      <c r="C22" s="26">
        <v>1</v>
      </c>
      <c r="D22" s="27">
        <v>1</v>
      </c>
      <c r="E22" s="115" t="s">
        <v>36</v>
      </c>
      <c r="F22" s="116"/>
      <c r="G22" s="116"/>
      <c r="H22" s="116"/>
      <c r="I22" s="116"/>
      <c r="J22" s="117"/>
      <c r="K22" s="28">
        <f>+apus!G26</f>
        <v>7560</v>
      </c>
      <c r="L22" s="29">
        <f t="shared" si="0"/>
        <v>7560</v>
      </c>
    </row>
    <row r="23" spans="1:12" ht="30" customHeight="1">
      <c r="A23" s="41"/>
      <c r="B23" s="42"/>
      <c r="C23" s="42"/>
      <c r="D23" s="43"/>
      <c r="E23" s="114" t="s">
        <v>37</v>
      </c>
      <c r="F23" s="114"/>
      <c r="G23" s="114"/>
      <c r="H23" s="114"/>
      <c r="I23" s="114"/>
      <c r="J23" s="114"/>
      <c r="K23" s="45"/>
      <c r="L23" s="45"/>
    </row>
    <row r="24" spans="1:12" ht="30" customHeight="1">
      <c r="A24" s="25"/>
      <c r="B24" s="26" t="s">
        <v>32</v>
      </c>
      <c r="C24" s="26">
        <v>1</v>
      </c>
      <c r="D24" s="27">
        <v>1</v>
      </c>
      <c r="E24" s="115" t="s">
        <v>38</v>
      </c>
      <c r="F24" s="116"/>
      <c r="G24" s="116"/>
      <c r="H24" s="116"/>
      <c r="I24" s="116"/>
      <c r="J24" s="117"/>
      <c r="K24" s="28">
        <f>+apus!G34</f>
        <v>16170</v>
      </c>
      <c r="L24" s="29">
        <f>+K24*D24*C24</f>
        <v>16170</v>
      </c>
    </row>
    <row r="25" spans="1:12" ht="30" customHeight="1">
      <c r="A25" s="41"/>
      <c r="B25" s="42"/>
      <c r="C25" s="42"/>
      <c r="D25" s="43"/>
      <c r="E25" s="114" t="s">
        <v>39</v>
      </c>
      <c r="F25" s="114"/>
      <c r="G25" s="114"/>
      <c r="H25" s="114"/>
      <c r="I25" s="114"/>
      <c r="J25" s="114"/>
      <c r="K25" s="45"/>
      <c r="L25" s="45"/>
    </row>
    <row r="26" spans="1:12" ht="30" customHeight="1">
      <c r="A26" s="40"/>
      <c r="B26" s="26" t="s">
        <v>29</v>
      </c>
      <c r="C26" s="26">
        <v>7</v>
      </c>
      <c r="D26" s="27">
        <v>8</v>
      </c>
      <c r="E26" s="135" t="s">
        <v>40</v>
      </c>
      <c r="F26" s="135"/>
      <c r="G26" s="135"/>
      <c r="H26" s="135"/>
      <c r="I26" s="135"/>
      <c r="J26" s="135"/>
      <c r="K26" s="28">
        <v>22.32</v>
      </c>
      <c r="L26" s="29">
        <f>+K26*D26*C26</f>
        <v>1249.92</v>
      </c>
    </row>
    <row r="27" spans="1:12" ht="30" customHeight="1">
      <c r="A27" s="40"/>
      <c r="B27" s="26" t="s">
        <v>29</v>
      </c>
      <c r="C27" s="26">
        <v>7</v>
      </c>
      <c r="D27" s="27">
        <v>8</v>
      </c>
      <c r="E27" s="135" t="s">
        <v>41</v>
      </c>
      <c r="F27" s="135"/>
      <c r="G27" s="135"/>
      <c r="H27" s="135"/>
      <c r="I27" s="135"/>
      <c r="J27" s="135"/>
      <c r="K27" s="28">
        <v>21.46</v>
      </c>
      <c r="L27" s="29">
        <f t="shared" ref="L27:L30" si="1">+K27*D27*C27</f>
        <v>1201.76</v>
      </c>
    </row>
    <row r="28" spans="1:12" ht="30" customHeight="1">
      <c r="A28" s="40"/>
      <c r="B28" s="26" t="s">
        <v>29</v>
      </c>
      <c r="C28" s="26">
        <v>7</v>
      </c>
      <c r="D28" s="27">
        <v>8</v>
      </c>
      <c r="E28" s="142" t="s">
        <v>42</v>
      </c>
      <c r="F28" s="143"/>
      <c r="G28" s="143"/>
      <c r="H28" s="143"/>
      <c r="I28" s="143"/>
      <c r="J28" s="144"/>
      <c r="K28" s="28">
        <v>21.46</v>
      </c>
      <c r="L28" s="29">
        <f t="shared" si="1"/>
        <v>1201.76</v>
      </c>
    </row>
    <row r="29" spans="1:12" ht="30" customHeight="1">
      <c r="A29" s="40"/>
      <c r="B29" s="26" t="s">
        <v>29</v>
      </c>
      <c r="C29" s="26">
        <v>7</v>
      </c>
      <c r="D29" s="27">
        <v>8</v>
      </c>
      <c r="E29" s="142" t="s">
        <v>43</v>
      </c>
      <c r="F29" s="143"/>
      <c r="G29" s="143"/>
      <c r="H29" s="143"/>
      <c r="I29" s="143"/>
      <c r="J29" s="144"/>
      <c r="K29" s="28">
        <v>9.3699999999999992</v>
      </c>
      <c r="L29" s="29">
        <f t="shared" si="1"/>
        <v>524.71999999999991</v>
      </c>
    </row>
    <row r="30" spans="1:12" ht="30" customHeight="1">
      <c r="A30" s="40"/>
      <c r="B30" s="26" t="s">
        <v>29</v>
      </c>
      <c r="C30" s="26">
        <v>7</v>
      </c>
      <c r="D30" s="27">
        <v>8</v>
      </c>
      <c r="E30" s="135" t="s">
        <v>44</v>
      </c>
      <c r="F30" s="135"/>
      <c r="G30" s="135"/>
      <c r="H30" s="135"/>
      <c r="I30" s="135"/>
      <c r="J30" s="135"/>
      <c r="K30" s="28">
        <v>11.46</v>
      </c>
      <c r="L30" s="29">
        <f t="shared" si="1"/>
        <v>641.76</v>
      </c>
    </row>
    <row r="31" spans="1:12" ht="23.4">
      <c r="A31" s="132" t="s">
        <v>22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4"/>
      <c r="L31" s="29">
        <f>SUM(L16:L30)</f>
        <v>254470.17614583339</v>
      </c>
    </row>
    <row r="32" spans="1:12" ht="30" customHeight="1">
      <c r="A32" s="25"/>
      <c r="B32" s="26" t="s">
        <v>23</v>
      </c>
      <c r="C32" s="26"/>
      <c r="D32" s="27">
        <v>1</v>
      </c>
      <c r="E32" s="115" t="s">
        <v>60</v>
      </c>
      <c r="F32" s="116"/>
      <c r="G32" s="116"/>
      <c r="H32" s="116"/>
      <c r="I32" s="116"/>
      <c r="J32" s="116"/>
      <c r="K32" s="117"/>
      <c r="L32" s="29">
        <f>+L31*0.03</f>
        <v>7634.1052843750012</v>
      </c>
    </row>
    <row r="33" spans="1:12" ht="30" customHeight="1" thickBot="1">
      <c r="A33" s="30"/>
      <c r="B33" s="31" t="s">
        <v>23</v>
      </c>
      <c r="C33" s="31"/>
      <c r="D33" s="32">
        <v>1</v>
      </c>
      <c r="E33" s="118" t="s">
        <v>61</v>
      </c>
      <c r="F33" s="119"/>
      <c r="G33" s="119"/>
      <c r="H33" s="119"/>
      <c r="I33" s="119"/>
      <c r="J33" s="119"/>
      <c r="K33" s="120"/>
      <c r="L33" s="33">
        <f>+L31*0.08</f>
        <v>20357.614091666674</v>
      </c>
    </row>
    <row r="34" spans="1:12" ht="30" customHeight="1" thickTop="1">
      <c r="A34" s="139" t="s">
        <v>24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1"/>
      <c r="L34" s="38">
        <f>SUM(L31:L33)</f>
        <v>282461.89552187506</v>
      </c>
    </row>
    <row r="35" spans="1:12" ht="30" customHeight="1" thickBot="1">
      <c r="A35" s="129" t="s">
        <v>17</v>
      </c>
      <c r="B35" s="130"/>
      <c r="C35" s="130"/>
      <c r="D35" s="130"/>
      <c r="E35" s="130"/>
      <c r="F35" s="130"/>
      <c r="G35" s="130"/>
      <c r="H35" s="130"/>
      <c r="I35" s="130"/>
      <c r="J35" s="131"/>
      <c r="K35" s="39">
        <v>0.18</v>
      </c>
      <c r="L35" s="33">
        <f>0.18*L34</f>
        <v>50843.14119393751</v>
      </c>
    </row>
    <row r="36" spans="1:12" ht="30" customHeight="1" thickTop="1" thickBot="1">
      <c r="A36" s="139" t="s">
        <v>25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1"/>
      <c r="L36" s="37">
        <f>IF(L35="","",+L35+L34)</f>
        <v>333305.03671581257</v>
      </c>
    </row>
    <row r="37" spans="1:12">
      <c r="A37" s="8"/>
      <c r="B37" s="9"/>
      <c r="C37" s="9"/>
      <c r="D37" s="9"/>
      <c r="E37" s="19"/>
      <c r="F37" s="19"/>
      <c r="G37" s="19"/>
      <c r="H37" s="19"/>
      <c r="I37" s="10"/>
      <c r="J37" s="10"/>
      <c r="K37" s="11"/>
      <c r="L37" s="48"/>
    </row>
    <row r="38" spans="1:12" ht="21">
      <c r="A38" s="153" t="s">
        <v>18</v>
      </c>
      <c r="B38" s="154"/>
      <c r="C38" s="154"/>
      <c r="D38" s="154"/>
      <c r="E38" s="154"/>
      <c r="F38" s="154"/>
      <c r="G38" s="154"/>
      <c r="H38" s="154"/>
      <c r="I38" s="154"/>
      <c r="J38" s="154"/>
      <c r="K38" s="3"/>
      <c r="L38" s="49"/>
    </row>
    <row r="39" spans="1:12" ht="21">
      <c r="A39" s="53"/>
      <c r="B39" s="54"/>
      <c r="C39" s="54"/>
      <c r="D39" s="54"/>
      <c r="E39" s="55"/>
      <c r="F39" s="55"/>
      <c r="G39" s="53"/>
      <c r="H39" s="53"/>
      <c r="I39" s="53"/>
      <c r="J39" s="53"/>
      <c r="K39" s="3"/>
      <c r="L39" s="49"/>
    </row>
    <row r="40" spans="1:12" ht="27" customHeight="1" thickBot="1">
      <c r="A40" s="121" t="s">
        <v>14</v>
      </c>
      <c r="B40" s="122"/>
      <c r="C40" s="122"/>
      <c r="D40" s="123"/>
      <c r="E40" s="121" t="s">
        <v>45</v>
      </c>
      <c r="F40" s="122"/>
      <c r="G40" s="123"/>
      <c r="H40" s="121" t="s">
        <v>26</v>
      </c>
      <c r="I40" s="122"/>
      <c r="J40" s="123"/>
      <c r="K40" s="46"/>
      <c r="L40" s="50"/>
    </row>
    <row r="41" spans="1:12" ht="21" customHeight="1">
      <c r="A41" s="137" t="s">
        <v>19</v>
      </c>
      <c r="B41" s="137"/>
      <c r="C41" s="137"/>
      <c r="D41" s="137"/>
      <c r="E41" s="124" t="s">
        <v>46</v>
      </c>
      <c r="F41" s="124"/>
      <c r="G41" s="124"/>
      <c r="H41" s="124" t="s">
        <v>46</v>
      </c>
      <c r="I41" s="124"/>
      <c r="J41" s="124"/>
      <c r="K41" s="47"/>
      <c r="L41" s="51"/>
    </row>
    <row r="42" spans="1:12" ht="21" customHeight="1">
      <c r="A42" s="137" t="s">
        <v>20</v>
      </c>
      <c r="B42" s="137"/>
      <c r="C42" s="137"/>
      <c r="D42" s="137"/>
      <c r="E42" s="124" t="s">
        <v>47</v>
      </c>
      <c r="F42" s="124"/>
      <c r="G42" s="124"/>
      <c r="H42" s="124" t="s">
        <v>47</v>
      </c>
      <c r="I42" s="124"/>
      <c r="J42" s="124"/>
      <c r="K42" s="47"/>
      <c r="L42" s="51"/>
    </row>
    <row r="43" spans="1:12" ht="21" customHeight="1">
      <c r="A43" s="150" t="s">
        <v>55</v>
      </c>
      <c r="B43" s="151"/>
      <c r="C43" s="151"/>
      <c r="D43" s="152"/>
      <c r="E43" s="58"/>
      <c r="F43" s="58" t="s">
        <v>56</v>
      </c>
      <c r="G43" s="58"/>
      <c r="H43" s="58"/>
      <c r="I43" s="58" t="s">
        <v>56</v>
      </c>
      <c r="J43" s="58"/>
      <c r="K43" s="47"/>
      <c r="L43" s="51"/>
    </row>
    <row r="44" spans="1:12" ht="21" customHeight="1">
      <c r="A44" s="137" t="s">
        <v>21</v>
      </c>
      <c r="B44" s="137"/>
      <c r="C44" s="137"/>
      <c r="D44" s="137"/>
      <c r="E44" s="145" t="s">
        <v>57</v>
      </c>
      <c r="F44" s="124"/>
      <c r="G44" s="124"/>
      <c r="H44" s="145" t="s">
        <v>57</v>
      </c>
      <c r="I44" s="124"/>
      <c r="J44" s="124"/>
      <c r="K44" s="47"/>
      <c r="L44" s="51"/>
    </row>
    <row r="45" spans="1:12" ht="21" customHeight="1">
      <c r="A45" s="149" t="s">
        <v>51</v>
      </c>
      <c r="B45" s="149"/>
      <c r="C45" s="149"/>
      <c r="D45" s="149"/>
      <c r="E45" s="57"/>
      <c r="F45" s="56" t="s">
        <v>53</v>
      </c>
      <c r="G45" s="56"/>
      <c r="H45" s="57"/>
      <c r="I45" s="56" t="s">
        <v>53</v>
      </c>
      <c r="J45" s="56"/>
      <c r="K45" s="47"/>
      <c r="L45" s="51"/>
    </row>
    <row r="46" spans="1:12" ht="21" customHeight="1">
      <c r="A46" s="146" t="s">
        <v>52</v>
      </c>
      <c r="B46" s="147"/>
      <c r="C46" s="147"/>
      <c r="D46" s="148"/>
      <c r="E46" s="57"/>
      <c r="F46" s="56" t="s">
        <v>53</v>
      </c>
      <c r="G46" s="56"/>
      <c r="H46" s="57"/>
      <c r="I46" s="56" t="s">
        <v>53</v>
      </c>
      <c r="J46" s="56"/>
      <c r="K46" s="47"/>
      <c r="L46" s="51"/>
    </row>
    <row r="47" spans="1:12" ht="21" customHeight="1">
      <c r="A47" s="136" t="s">
        <v>58</v>
      </c>
      <c r="B47" s="136"/>
      <c r="C47" s="136"/>
      <c r="D47" s="136"/>
      <c r="E47" s="79">
        <v>45798</v>
      </c>
      <c r="F47" s="80"/>
      <c r="G47" s="80"/>
      <c r="H47" s="79">
        <v>45798</v>
      </c>
      <c r="I47" s="80"/>
      <c r="J47" s="80"/>
      <c r="K47" s="47"/>
      <c r="L47" s="51"/>
    </row>
    <row r="48" spans="1:12" ht="21" customHeight="1">
      <c r="A48" s="137" t="s">
        <v>48</v>
      </c>
      <c r="B48" s="137"/>
      <c r="C48" s="137"/>
      <c r="D48" s="137"/>
      <c r="E48" s="81" t="s">
        <v>49</v>
      </c>
      <c r="F48" s="81"/>
      <c r="G48" s="81"/>
      <c r="H48" s="81" t="s">
        <v>49</v>
      </c>
      <c r="I48" s="81"/>
      <c r="J48" s="81"/>
      <c r="K48" s="47"/>
      <c r="L48" s="51"/>
    </row>
    <row r="49" spans="1:12" ht="21" customHeight="1">
      <c r="A49" s="138" t="s">
        <v>59</v>
      </c>
      <c r="B49" s="138"/>
      <c r="C49" s="138"/>
      <c r="D49" s="138"/>
      <c r="E49" s="81" t="s">
        <v>50</v>
      </c>
      <c r="F49" s="81"/>
      <c r="G49" s="81"/>
      <c r="H49" s="81" t="s">
        <v>50</v>
      </c>
      <c r="I49" s="81"/>
      <c r="J49" s="81"/>
      <c r="K49" s="47"/>
      <c r="L49" s="51"/>
    </row>
    <row r="50" spans="1:12" ht="15" thickBot="1">
      <c r="A50" s="12"/>
      <c r="B50" s="13"/>
      <c r="C50" s="13"/>
      <c r="D50" s="13"/>
      <c r="E50" s="2"/>
      <c r="F50" s="2"/>
      <c r="G50" s="2"/>
      <c r="H50" s="14"/>
      <c r="I50" s="14"/>
      <c r="J50" s="14"/>
      <c r="K50" s="2"/>
      <c r="L50" s="52"/>
    </row>
    <row r="51" spans="1:12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</sheetData>
  <mergeCells count="66">
    <mergeCell ref="A46:D46"/>
    <mergeCell ref="A45:D45"/>
    <mergeCell ref="A44:D44"/>
    <mergeCell ref="A43:D43"/>
    <mergeCell ref="A38:J38"/>
    <mergeCell ref="H40:J40"/>
    <mergeCell ref="A40:D40"/>
    <mergeCell ref="A41:D41"/>
    <mergeCell ref="A42:D42"/>
    <mergeCell ref="H41:J41"/>
    <mergeCell ref="H42:J42"/>
    <mergeCell ref="H44:J44"/>
    <mergeCell ref="A47:D47"/>
    <mergeCell ref="A48:D48"/>
    <mergeCell ref="A49:D49"/>
    <mergeCell ref="E22:J22"/>
    <mergeCell ref="E23:J23"/>
    <mergeCell ref="E24:J24"/>
    <mergeCell ref="E25:J25"/>
    <mergeCell ref="E26:J26"/>
    <mergeCell ref="A34:K34"/>
    <mergeCell ref="E27:J27"/>
    <mergeCell ref="E28:J28"/>
    <mergeCell ref="E29:J29"/>
    <mergeCell ref="E49:G49"/>
    <mergeCell ref="A36:K36"/>
    <mergeCell ref="E44:G44"/>
    <mergeCell ref="E47:G47"/>
    <mergeCell ref="E42:G42"/>
    <mergeCell ref="A11:D11"/>
    <mergeCell ref="E11:J11"/>
    <mergeCell ref="E13:J13"/>
    <mergeCell ref="A14:L14"/>
    <mergeCell ref="E15:J15"/>
    <mergeCell ref="E16:J16"/>
    <mergeCell ref="E17:J17"/>
    <mergeCell ref="A35:J35"/>
    <mergeCell ref="A31:K31"/>
    <mergeCell ref="E30:J30"/>
    <mergeCell ref="A1:D4"/>
    <mergeCell ref="E1:J6"/>
    <mergeCell ref="A6:D6"/>
    <mergeCell ref="A7:D7"/>
    <mergeCell ref="A8:D8"/>
    <mergeCell ref="E8:J8"/>
    <mergeCell ref="A5:D5"/>
    <mergeCell ref="A9:D9"/>
    <mergeCell ref="E9:J9"/>
    <mergeCell ref="A10:D10"/>
    <mergeCell ref="E10:J10"/>
    <mergeCell ref="H47:J47"/>
    <mergeCell ref="H48:J48"/>
    <mergeCell ref="H49:J49"/>
    <mergeCell ref="K1:L2"/>
    <mergeCell ref="K3:L3"/>
    <mergeCell ref="K4:K5"/>
    <mergeCell ref="L4:L5"/>
    <mergeCell ref="E18:J18"/>
    <mergeCell ref="E19:J19"/>
    <mergeCell ref="E20:J20"/>
    <mergeCell ref="E21:J21"/>
    <mergeCell ref="E32:K32"/>
    <mergeCell ref="E33:K33"/>
    <mergeCell ref="E48:G48"/>
    <mergeCell ref="E40:G40"/>
    <mergeCell ref="E41:G41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A1:H32"/>
  <sheetViews>
    <sheetView zoomScale="85" zoomScaleNormal="85" workbookViewId="0">
      <selection activeCell="J29" sqref="J29"/>
    </sheetView>
  </sheetViews>
  <sheetFormatPr baseColWidth="10" defaultRowHeight="14.4"/>
  <cols>
    <col min="1" max="1" width="33.44140625" style="60" bestFit="1" customWidth="1"/>
    <col min="2" max="2" width="43" style="60" customWidth="1"/>
    <col min="3" max="3" width="6.88671875" style="60" bestFit="1" customWidth="1"/>
    <col min="4" max="4" width="3.5546875" style="60" bestFit="1" customWidth="1"/>
    <col min="5" max="5" width="16.109375" style="60" customWidth="1"/>
    <col min="6" max="16384" width="11.5546875" style="60"/>
  </cols>
  <sheetData>
    <row r="1" spans="1:5">
      <c r="A1" s="59"/>
      <c r="B1" s="59" t="s">
        <v>112</v>
      </c>
      <c r="E1" s="61"/>
    </row>
    <row r="2" spans="1:5">
      <c r="D2" s="62"/>
      <c r="E2" s="61"/>
    </row>
    <row r="3" spans="1:5">
      <c r="A3" s="59"/>
      <c r="E3" s="61"/>
    </row>
    <row r="4" spans="1:5">
      <c r="E4" s="61"/>
    </row>
    <row r="5" spans="1:5">
      <c r="B5" s="60" t="s">
        <v>62</v>
      </c>
      <c r="E5" s="61">
        <v>1130</v>
      </c>
    </row>
    <row r="6" spans="1:5">
      <c r="B6" s="60" t="s">
        <v>109</v>
      </c>
      <c r="E6" s="61">
        <f>+E5*0.15</f>
        <v>169.5</v>
      </c>
    </row>
    <row r="7" spans="1:5">
      <c r="B7" s="63" t="s">
        <v>76</v>
      </c>
      <c r="E7" s="61">
        <f>+($E$5/240)*20*1.25</f>
        <v>117.70833333333331</v>
      </c>
    </row>
    <row r="8" spans="1:5">
      <c r="B8" s="63" t="s">
        <v>77</v>
      </c>
      <c r="E8" s="61">
        <f>+($E$5/240)*10*1.25</f>
        <v>58.854166666666657</v>
      </c>
    </row>
    <row r="9" spans="1:5">
      <c r="B9" s="60" t="s">
        <v>63</v>
      </c>
      <c r="E9" s="61">
        <f>+E5*0.1</f>
        <v>113</v>
      </c>
    </row>
    <row r="10" spans="1:5">
      <c r="B10" s="60" t="s">
        <v>64</v>
      </c>
      <c r="E10" s="61">
        <f>+E5/30*10*1.35</f>
        <v>508.5</v>
      </c>
    </row>
    <row r="11" spans="1:5">
      <c r="B11" s="60" t="s">
        <v>65</v>
      </c>
      <c r="E11" s="61">
        <f>(E5+E9)*2/30</f>
        <v>82.86666666666666</v>
      </c>
    </row>
    <row r="12" spans="1:5">
      <c r="B12" s="59" t="s">
        <v>66</v>
      </c>
      <c r="E12" s="78">
        <f>+E5+E6+E9+E10+E11+E8+E7</f>
        <v>2180.4291666666668</v>
      </c>
    </row>
    <row r="13" spans="1:5">
      <c r="E13" s="61"/>
    </row>
    <row r="14" spans="1:5">
      <c r="E14" s="61"/>
    </row>
    <row r="15" spans="1:5">
      <c r="B15" s="60" t="s">
        <v>67</v>
      </c>
      <c r="E15" s="61">
        <f>((E12)+((E12)*0.09))/12*2</f>
        <v>396.11129861111112</v>
      </c>
    </row>
    <row r="16" spans="1:5">
      <c r="B16" s="60" t="s">
        <v>68</v>
      </c>
      <c r="E16" s="61">
        <f>(E12)/12</f>
        <v>181.70243055555557</v>
      </c>
    </row>
    <row r="17" spans="1:8">
      <c r="B17" s="60" t="s">
        <v>69</v>
      </c>
      <c r="E17" s="61">
        <f>(((E12)/2)+((E12)/6))/12*2</f>
        <v>242.26990740740743</v>
      </c>
    </row>
    <row r="18" spans="1:8">
      <c r="B18" s="59" t="s">
        <v>70</v>
      </c>
      <c r="E18" s="65">
        <f>SUM(E15:E17)</f>
        <v>820.08363657407415</v>
      </c>
    </row>
    <row r="19" spans="1:8">
      <c r="E19" s="61"/>
    </row>
    <row r="20" spans="1:8">
      <c r="B20" s="59" t="s">
        <v>71</v>
      </c>
      <c r="E20" s="65">
        <f>+E18+E12</f>
        <v>3000.5128032407411</v>
      </c>
    </row>
    <row r="21" spans="1:8">
      <c r="D21" s="67">
        <v>0.09</v>
      </c>
      <c r="E21" s="65">
        <f>+D21*(E5+E9+E11+E10+E8+E7+E6)</f>
        <v>196.23862500000001</v>
      </c>
    </row>
    <row r="22" spans="1:8">
      <c r="B22" s="59" t="s">
        <v>78</v>
      </c>
      <c r="E22" s="65">
        <f>+(E21+E20)*4/26</f>
        <v>491.80791203703706</v>
      </c>
    </row>
    <row r="23" spans="1:8">
      <c r="A23" s="59"/>
      <c r="B23" s="59" t="s">
        <v>72</v>
      </c>
      <c r="E23" s="65">
        <f>+E21+E20+E22</f>
        <v>3688.5593402777781</v>
      </c>
    </row>
    <row r="24" spans="1:8">
      <c r="A24" s="59"/>
      <c r="B24" s="59" t="s">
        <v>73</v>
      </c>
      <c r="D24" s="64">
        <v>2</v>
      </c>
      <c r="E24" s="65">
        <f>+D24*$E$23/100</f>
        <v>73.771186805555558</v>
      </c>
    </row>
    <row r="25" spans="1:8">
      <c r="A25" s="59"/>
      <c r="B25" s="59" t="s">
        <v>74</v>
      </c>
      <c r="D25" s="64">
        <v>2</v>
      </c>
      <c r="E25" s="65">
        <f>+D25*$E$23/100</f>
        <v>73.771186805555558</v>
      </c>
    </row>
    <row r="26" spans="1:8">
      <c r="A26" s="59"/>
      <c r="B26" s="155" t="s">
        <v>75</v>
      </c>
      <c r="C26" s="155"/>
      <c r="D26" s="155"/>
      <c r="E26" s="65">
        <f>ROUND(SUM(E23:E25),2)</f>
        <v>3836.1</v>
      </c>
    </row>
    <row r="27" spans="1:8">
      <c r="A27" s="59"/>
      <c r="E27" s="65"/>
    </row>
    <row r="28" spans="1:8">
      <c r="H28" s="68"/>
    </row>
    <row r="31" spans="1:8">
      <c r="A31" s="66"/>
      <c r="F31" s="66"/>
      <c r="G31" s="66"/>
      <c r="H31" s="66"/>
    </row>
    <row r="32" spans="1:8">
      <c r="A32" s="66"/>
    </row>
  </sheetData>
  <mergeCells count="1">
    <mergeCell ref="B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:H30"/>
  <sheetViews>
    <sheetView zoomScale="85" zoomScaleNormal="85" workbookViewId="0">
      <selection activeCell="B38" sqref="B38"/>
    </sheetView>
  </sheetViews>
  <sheetFormatPr baseColWidth="10" defaultRowHeight="14.4"/>
  <cols>
    <col min="1" max="1" width="33.44140625" style="60" bestFit="1" customWidth="1"/>
    <col min="2" max="2" width="43" style="60" customWidth="1"/>
    <col min="3" max="3" width="6.88671875" style="60" bestFit="1" customWidth="1"/>
    <col min="4" max="4" width="3.5546875" style="60" bestFit="1" customWidth="1"/>
    <col min="5" max="5" width="16.109375" style="60" customWidth="1"/>
    <col min="6" max="16384" width="11.5546875" style="60"/>
  </cols>
  <sheetData>
    <row r="1" spans="1:5">
      <c r="A1" s="59"/>
      <c r="B1" s="59" t="s">
        <v>111</v>
      </c>
      <c r="E1" s="61"/>
    </row>
    <row r="2" spans="1:5">
      <c r="D2" s="62"/>
      <c r="E2" s="61"/>
    </row>
    <row r="3" spans="1:5">
      <c r="A3" s="59"/>
      <c r="E3" s="61"/>
    </row>
    <row r="4" spans="1:5">
      <c r="E4" s="61"/>
    </row>
    <row r="5" spans="1:5">
      <c r="B5" s="60" t="s">
        <v>62</v>
      </c>
      <c r="E5" s="61">
        <v>1130</v>
      </c>
    </row>
    <row r="6" spans="1:5">
      <c r="B6" s="60" t="s">
        <v>109</v>
      </c>
      <c r="E6" s="61">
        <f>+E5*0.15</f>
        <v>169.5</v>
      </c>
    </row>
    <row r="7" spans="1:5">
      <c r="B7" s="63" t="s">
        <v>76</v>
      </c>
      <c r="E7" s="61">
        <f>+($E$5/240)*20*1.25</f>
        <v>117.70833333333331</v>
      </c>
    </row>
    <row r="8" spans="1:5">
      <c r="B8" s="63" t="s">
        <v>77</v>
      </c>
      <c r="E8" s="61">
        <f>+($E$5/240)*10*1.25</f>
        <v>58.854166666666657</v>
      </c>
    </row>
    <row r="9" spans="1:5">
      <c r="B9" s="60" t="s">
        <v>63</v>
      </c>
      <c r="E9" s="61">
        <f>+E5*0.1</f>
        <v>113</v>
      </c>
    </row>
    <row r="10" spans="1:5">
      <c r="B10" s="60" t="s">
        <v>64</v>
      </c>
      <c r="E10" s="61">
        <f>+E5/30*10*1.35</f>
        <v>508.5</v>
      </c>
    </row>
    <row r="11" spans="1:5">
      <c r="B11" s="60" t="s">
        <v>65</v>
      </c>
      <c r="E11" s="61">
        <f>(E5+E9)*2/30</f>
        <v>82.86666666666666</v>
      </c>
    </row>
    <row r="12" spans="1:5">
      <c r="B12" s="59" t="s">
        <v>66</v>
      </c>
      <c r="E12" s="65">
        <f>+E5+E6+E9+E10+E11+E8+E7</f>
        <v>2180.4291666666668</v>
      </c>
    </row>
    <row r="13" spans="1:5">
      <c r="E13" s="61"/>
    </row>
    <row r="14" spans="1:5">
      <c r="E14" s="61"/>
    </row>
    <row r="15" spans="1:5">
      <c r="B15" s="60" t="s">
        <v>67</v>
      </c>
      <c r="E15" s="61">
        <f>((E12)+((E12)*0.09))/12*2</f>
        <v>396.11129861111112</v>
      </c>
    </row>
    <row r="16" spans="1:5">
      <c r="B16" s="60" t="s">
        <v>68</v>
      </c>
      <c r="E16" s="61">
        <f>(E12)/12</f>
        <v>181.70243055555557</v>
      </c>
    </row>
    <row r="17" spans="1:8">
      <c r="B17" s="60" t="s">
        <v>69</v>
      </c>
      <c r="E17" s="61">
        <f>(((E12)/2)+((E12)/6))/12*2</f>
        <v>242.26990740740743</v>
      </c>
    </row>
    <row r="18" spans="1:8">
      <c r="B18" s="59" t="s">
        <v>70</v>
      </c>
      <c r="E18" s="65">
        <f>SUM(E15:E17)</f>
        <v>820.08363657407415</v>
      </c>
    </row>
    <row r="19" spans="1:8">
      <c r="E19" s="61"/>
    </row>
    <row r="20" spans="1:8">
      <c r="B20" s="59" t="s">
        <v>71</v>
      </c>
      <c r="E20" s="65">
        <f>+E18+E12</f>
        <v>3000.5128032407411</v>
      </c>
    </row>
    <row r="21" spans="1:8">
      <c r="D21" s="67">
        <v>0.09</v>
      </c>
      <c r="E21" s="65">
        <f>+D21*(E5+E9+E11+E10+E8+E7+E6)</f>
        <v>196.23862500000001</v>
      </c>
    </row>
    <row r="22" spans="1:8">
      <c r="B22" s="59" t="s">
        <v>78</v>
      </c>
      <c r="E22" s="65">
        <f>+(E21+E20)*4/26</f>
        <v>491.80791203703706</v>
      </c>
    </row>
    <row r="23" spans="1:8">
      <c r="A23" s="59"/>
      <c r="B23" s="59" t="s">
        <v>72</v>
      </c>
      <c r="E23" s="65">
        <f>+E21+E20+E22</f>
        <v>3688.5593402777781</v>
      </c>
    </row>
    <row r="24" spans="1:8">
      <c r="A24" s="59"/>
      <c r="B24" s="155" t="s">
        <v>75</v>
      </c>
      <c r="C24" s="155"/>
      <c r="D24" s="155"/>
      <c r="E24" s="65">
        <f>ROUND(SUM(E23:E23),2)</f>
        <v>3688.56</v>
      </c>
    </row>
    <row r="25" spans="1:8">
      <c r="A25" s="59"/>
      <c r="E25" s="65"/>
    </row>
    <row r="26" spans="1:8">
      <c r="H26" s="68"/>
    </row>
    <row r="29" spans="1:8">
      <c r="A29" s="66"/>
      <c r="F29" s="66"/>
      <c r="G29" s="66"/>
      <c r="H29" s="66"/>
    </row>
    <row r="30" spans="1:8">
      <c r="A30" s="66"/>
    </row>
  </sheetData>
  <mergeCells count="1">
    <mergeCell ref="B24:D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63A16-60A7-4408-AA31-6FE3BB60D1FE}">
  <dimension ref="B1:J40"/>
  <sheetViews>
    <sheetView topLeftCell="A19" workbookViewId="0">
      <selection activeCell="H23" sqref="H23"/>
    </sheetView>
  </sheetViews>
  <sheetFormatPr baseColWidth="10" defaultRowHeight="14.4"/>
  <cols>
    <col min="2" max="2" width="47.88671875" customWidth="1"/>
    <col min="3" max="3" width="4.88671875" bestFit="1" customWidth="1"/>
    <col min="4" max="4" width="9.88671875" bestFit="1" customWidth="1"/>
    <col min="5" max="5" width="11.88671875" customWidth="1"/>
    <col min="6" max="6" width="13.6640625" style="70" customWidth="1"/>
    <col min="7" max="7" width="31.77734375" customWidth="1"/>
    <col min="11" max="11" width="21.6640625" customWidth="1"/>
    <col min="12" max="12" width="28.88671875" customWidth="1"/>
  </cols>
  <sheetData>
    <row r="1" spans="2:10">
      <c r="B1" s="69" t="s">
        <v>79</v>
      </c>
    </row>
    <row r="2" spans="2:10">
      <c r="B2" s="71" t="s">
        <v>80</v>
      </c>
      <c r="C2" s="71" t="s">
        <v>81</v>
      </c>
      <c r="D2" s="71" t="s">
        <v>82</v>
      </c>
      <c r="E2" s="71" t="s">
        <v>83</v>
      </c>
      <c r="F2" s="72" t="s">
        <v>84</v>
      </c>
      <c r="G2" s="71" t="s">
        <v>85</v>
      </c>
    </row>
    <row r="3" spans="2:10">
      <c r="B3" t="s">
        <v>86</v>
      </c>
      <c r="C3" t="s">
        <v>81</v>
      </c>
      <c r="D3">
        <v>2</v>
      </c>
      <c r="E3">
        <v>3</v>
      </c>
      <c r="F3" s="73">
        <f>186/1.18</f>
        <v>157.62711864406779</v>
      </c>
      <c r="G3" s="73">
        <f>+F3*E3*D3</f>
        <v>945.76271186440681</v>
      </c>
      <c r="J3" s="74"/>
    </row>
    <row r="4" spans="2:10">
      <c r="B4" t="s">
        <v>87</v>
      </c>
      <c r="C4" t="s">
        <v>81</v>
      </c>
      <c r="D4">
        <v>1</v>
      </c>
      <c r="E4">
        <v>8</v>
      </c>
      <c r="F4" s="73">
        <v>40</v>
      </c>
      <c r="G4" s="73">
        <f t="shared" ref="G4:G10" si="0">+F4*E4*D4</f>
        <v>320</v>
      </c>
      <c r="J4" s="74"/>
    </row>
    <row r="5" spans="2:10">
      <c r="B5" t="s">
        <v>88</v>
      </c>
      <c r="C5" t="s">
        <v>81</v>
      </c>
      <c r="D5">
        <v>1</v>
      </c>
      <c r="E5">
        <v>3</v>
      </c>
      <c r="F5" s="73">
        <v>120</v>
      </c>
      <c r="G5" s="73">
        <f t="shared" si="0"/>
        <v>360</v>
      </c>
      <c r="J5" s="74"/>
    </row>
    <row r="6" spans="2:10">
      <c r="B6" t="s">
        <v>89</v>
      </c>
      <c r="C6" t="s">
        <v>81</v>
      </c>
      <c r="D6">
        <v>1</v>
      </c>
      <c r="E6">
        <v>9</v>
      </c>
      <c r="F6" s="73">
        <v>3.9200000000000004</v>
      </c>
      <c r="G6" s="73">
        <f t="shared" si="0"/>
        <v>35.28</v>
      </c>
      <c r="J6" s="74"/>
    </row>
    <row r="7" spans="2:10">
      <c r="B7" t="s">
        <v>90</v>
      </c>
      <c r="C7" t="s">
        <v>81</v>
      </c>
      <c r="D7">
        <v>1</v>
      </c>
      <c r="E7">
        <v>5</v>
      </c>
      <c r="F7" s="73">
        <v>500</v>
      </c>
      <c r="G7" s="73">
        <f t="shared" si="0"/>
        <v>2500</v>
      </c>
      <c r="J7" s="74"/>
    </row>
    <row r="8" spans="2:10">
      <c r="B8" t="s">
        <v>91</v>
      </c>
      <c r="C8" t="s">
        <v>81</v>
      </c>
      <c r="D8">
        <v>1</v>
      </c>
      <c r="E8">
        <v>1</v>
      </c>
      <c r="F8" s="73">
        <v>880</v>
      </c>
      <c r="G8" s="73">
        <f t="shared" si="0"/>
        <v>880</v>
      </c>
      <c r="J8" s="74"/>
    </row>
    <row r="9" spans="2:10">
      <c r="B9" t="s">
        <v>92</v>
      </c>
      <c r="C9" t="s">
        <v>81</v>
      </c>
      <c r="D9">
        <v>6</v>
      </c>
      <c r="E9">
        <v>8</v>
      </c>
      <c r="F9" s="73">
        <v>4</v>
      </c>
      <c r="G9" s="73">
        <f t="shared" si="0"/>
        <v>192</v>
      </c>
      <c r="J9" s="74"/>
    </row>
    <row r="10" spans="2:10">
      <c r="B10" t="s">
        <v>93</v>
      </c>
      <c r="C10" t="s">
        <v>32</v>
      </c>
      <c r="D10">
        <v>1</v>
      </c>
      <c r="E10">
        <v>1</v>
      </c>
      <c r="F10" s="73">
        <v>480</v>
      </c>
      <c r="G10" s="73">
        <f t="shared" si="0"/>
        <v>480</v>
      </c>
      <c r="J10" s="74"/>
    </row>
    <row r="11" spans="2:10">
      <c r="F11" s="75" t="s">
        <v>75</v>
      </c>
      <c r="G11" s="76">
        <f>ROUND(SUM(G3:G10),2)</f>
        <v>5713.04</v>
      </c>
      <c r="J11" s="74"/>
    </row>
    <row r="13" spans="2:10">
      <c r="B13" s="69" t="s">
        <v>94</v>
      </c>
    </row>
    <row r="14" spans="2:10">
      <c r="B14" s="71" t="s">
        <v>80</v>
      </c>
      <c r="C14" s="71" t="s">
        <v>81</v>
      </c>
      <c r="D14" s="71" t="s">
        <v>82</v>
      </c>
      <c r="E14" s="71" t="s">
        <v>83</v>
      </c>
      <c r="F14" s="72" t="s">
        <v>84</v>
      </c>
      <c r="G14" s="71" t="s">
        <v>85</v>
      </c>
    </row>
    <row r="15" spans="2:10">
      <c r="B15" t="s">
        <v>95</v>
      </c>
      <c r="C15" t="s">
        <v>81</v>
      </c>
      <c r="D15">
        <v>2</v>
      </c>
      <c r="E15">
        <v>9</v>
      </c>
      <c r="F15" s="73">
        <v>116</v>
      </c>
      <c r="G15" s="73">
        <f t="shared" ref="G15:G20" si="1">+F15*E15*D15</f>
        <v>2088</v>
      </c>
    </row>
    <row r="16" spans="2:10">
      <c r="B16" t="s">
        <v>96</v>
      </c>
      <c r="C16" t="s">
        <v>81</v>
      </c>
      <c r="D16">
        <v>1</v>
      </c>
      <c r="E16">
        <v>9</v>
      </c>
      <c r="F16" s="73">
        <f>32/1.18</f>
        <v>27.118644067796613</v>
      </c>
      <c r="G16" s="73">
        <f t="shared" si="1"/>
        <v>244.06779661016952</v>
      </c>
    </row>
    <row r="17" spans="2:9">
      <c r="B17" t="s">
        <v>97</v>
      </c>
      <c r="C17" t="s">
        <v>81</v>
      </c>
      <c r="D17">
        <v>4</v>
      </c>
      <c r="E17">
        <v>9</v>
      </c>
      <c r="F17" s="73">
        <v>24</v>
      </c>
      <c r="G17" s="73">
        <f t="shared" si="1"/>
        <v>864</v>
      </c>
    </row>
    <row r="18" spans="2:9">
      <c r="B18" t="s">
        <v>98</v>
      </c>
      <c r="C18" t="s">
        <v>81</v>
      </c>
      <c r="D18">
        <v>2</v>
      </c>
      <c r="E18">
        <v>9</v>
      </c>
      <c r="F18" s="73">
        <v>2.8000000000000003</v>
      </c>
      <c r="G18" s="73">
        <f t="shared" si="1"/>
        <v>50.400000000000006</v>
      </c>
    </row>
    <row r="19" spans="2:9">
      <c r="B19" t="s">
        <v>99</v>
      </c>
      <c r="C19" t="s">
        <v>81</v>
      </c>
      <c r="D19">
        <v>2</v>
      </c>
      <c r="E19">
        <v>9</v>
      </c>
      <c r="F19" s="73">
        <f>10/1.18</f>
        <v>8.4745762711864412</v>
      </c>
      <c r="G19" s="73">
        <f t="shared" si="1"/>
        <v>152.54237288135593</v>
      </c>
    </row>
    <row r="20" spans="2:9">
      <c r="B20" t="s">
        <v>100</v>
      </c>
      <c r="C20" t="s">
        <v>81</v>
      </c>
      <c r="D20">
        <v>2</v>
      </c>
      <c r="E20">
        <v>9</v>
      </c>
      <c r="F20" s="73">
        <f>4*1.18</f>
        <v>4.72</v>
      </c>
      <c r="G20" s="73">
        <f t="shared" si="1"/>
        <v>84.96</v>
      </c>
    </row>
    <row r="21" spans="2:9">
      <c r="F21" s="73"/>
      <c r="G21" s="76">
        <f>ROUND(SUM(G15:G20),2)</f>
        <v>3483.97</v>
      </c>
      <c r="I21" s="74"/>
    </row>
    <row r="22" spans="2:9">
      <c r="F22" s="73"/>
      <c r="G22" s="73"/>
    </row>
    <row r="23" spans="2:9">
      <c r="B23" s="69" t="s">
        <v>101</v>
      </c>
    </row>
    <row r="24" spans="2:9">
      <c r="B24" s="71" t="s">
        <v>80</v>
      </c>
      <c r="C24" s="71" t="s">
        <v>81</v>
      </c>
      <c r="D24" s="71" t="s">
        <v>82</v>
      </c>
      <c r="E24" s="71" t="s">
        <v>83</v>
      </c>
      <c r="F24" s="72" t="s">
        <v>84</v>
      </c>
      <c r="G24" s="71" t="s">
        <v>85</v>
      </c>
    </row>
    <row r="25" spans="2:9">
      <c r="B25" t="s">
        <v>102</v>
      </c>
      <c r="C25" t="s">
        <v>32</v>
      </c>
      <c r="D25">
        <v>2</v>
      </c>
      <c r="E25">
        <v>9</v>
      </c>
      <c r="F25" s="73">
        <v>420</v>
      </c>
      <c r="G25" s="73">
        <f t="shared" ref="G25" si="2">+F25*E25*D25</f>
        <v>7560</v>
      </c>
    </row>
    <row r="26" spans="2:9">
      <c r="F26" s="73"/>
      <c r="G26" s="76">
        <f>ROUND(SUM(G25),2)</f>
        <v>7560</v>
      </c>
    </row>
    <row r="28" spans="2:9">
      <c r="B28" s="69" t="s">
        <v>103</v>
      </c>
    </row>
    <row r="29" spans="2:9">
      <c r="B29" s="71" t="s">
        <v>80</v>
      </c>
      <c r="C29" s="71" t="s">
        <v>81</v>
      </c>
      <c r="D29" s="71" t="s">
        <v>82</v>
      </c>
      <c r="E29" s="71" t="s">
        <v>83</v>
      </c>
      <c r="F29" s="72" t="s">
        <v>84</v>
      </c>
      <c r="G29" s="71" t="s">
        <v>85</v>
      </c>
    </row>
    <row r="30" spans="2:9">
      <c r="B30" t="s">
        <v>104</v>
      </c>
      <c r="C30" t="s">
        <v>105</v>
      </c>
      <c r="D30">
        <f>30*7</f>
        <v>210</v>
      </c>
      <c r="E30" s="77">
        <v>5</v>
      </c>
      <c r="F30" s="73">
        <v>9.5</v>
      </c>
      <c r="G30" s="73">
        <f t="shared" ref="G30:G33" si="3">+F30*E30*D30</f>
        <v>9975</v>
      </c>
    </row>
    <row r="31" spans="2:9">
      <c r="B31" t="s">
        <v>106</v>
      </c>
      <c r="C31" t="s">
        <v>105</v>
      </c>
      <c r="D31">
        <f>30*7</f>
        <v>210</v>
      </c>
      <c r="E31" s="77">
        <v>5</v>
      </c>
      <c r="F31" s="73">
        <v>1.25</v>
      </c>
      <c r="G31" s="73">
        <f t="shared" si="3"/>
        <v>1312.5</v>
      </c>
    </row>
    <row r="32" spans="2:9">
      <c r="B32" t="s">
        <v>107</v>
      </c>
      <c r="C32" t="s">
        <v>105</v>
      </c>
      <c r="D32">
        <f>30*7</f>
        <v>210</v>
      </c>
      <c r="E32" s="77">
        <v>3</v>
      </c>
      <c r="F32" s="73">
        <v>6.5</v>
      </c>
      <c r="G32" s="73">
        <f t="shared" si="3"/>
        <v>4095</v>
      </c>
    </row>
    <row r="33" spans="2:7">
      <c r="B33" t="s">
        <v>106</v>
      </c>
      <c r="C33" t="s">
        <v>105</v>
      </c>
      <c r="D33">
        <f>30*7</f>
        <v>210</v>
      </c>
      <c r="E33" s="77">
        <v>3</v>
      </c>
      <c r="F33" s="73">
        <v>1.25</v>
      </c>
      <c r="G33" s="73">
        <f t="shared" si="3"/>
        <v>787.5</v>
      </c>
    </row>
    <row r="34" spans="2:7">
      <c r="F34" s="73"/>
      <c r="G34" s="76">
        <f>ROUND(SUM(G30:G33),2)</f>
        <v>16170</v>
      </c>
    </row>
    <row r="37" spans="2:7">
      <c r="B37" s="69" t="s">
        <v>108</v>
      </c>
    </row>
    <row r="38" spans="2:7">
      <c r="B38" s="71" t="s">
        <v>80</v>
      </c>
      <c r="C38" s="71" t="s">
        <v>81</v>
      </c>
      <c r="D38" s="71" t="s">
        <v>82</v>
      </c>
      <c r="E38" s="71" t="s">
        <v>83</v>
      </c>
      <c r="F38" s="72" t="s">
        <v>84</v>
      </c>
      <c r="G38" s="71" t="s">
        <v>85</v>
      </c>
    </row>
    <row r="39" spans="2:7">
      <c r="B39" t="s">
        <v>110</v>
      </c>
      <c r="C39" t="s">
        <v>105</v>
      </c>
      <c r="D39">
        <v>1</v>
      </c>
      <c r="E39" s="77">
        <v>1</v>
      </c>
      <c r="F39" s="73">
        <v>5000</v>
      </c>
      <c r="G39" s="73">
        <f t="shared" ref="G39" si="4">+F39*E39*D39</f>
        <v>5000</v>
      </c>
    </row>
    <row r="40" spans="2:7">
      <c r="F40" s="73"/>
      <c r="G40" s="76">
        <f>ROUND(SUM(G39:G39),2)</f>
        <v>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0" ma:contentTypeDescription="Create a new document." ma:contentTypeScope="" ma:versionID="ec8e7f3d2f5af86a6f979ede892949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EE22A9-B741-44DD-8783-92FB7F5BA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DETALLADO</vt:lpstr>
      <vt:lpstr> agente con arma</vt:lpstr>
      <vt:lpstr>agente sin arma</vt:lpstr>
      <vt:lpstr>apus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2025-04-25T04:49:16Z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