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IA&amp;CONSULTORES 2022\ADMINISTRACION\COTIZACIONES\SIA\PROMA\"/>
    </mc:Choice>
  </mc:AlternateContent>
  <bookViews>
    <workbookView xWindow="0" yWindow="0" windowWidth="23040" windowHeight="9192" tabRatio="795" firstSheet="1" activeTab="1"/>
  </bookViews>
  <sheets>
    <sheet name="Resumen Presupuesto " sheetId="39" r:id="rId1"/>
    <sheet name="Honorarios " sheetId="26" r:id="rId2"/>
    <sheet name=" EPPS " sheetId="23" r:id="rId3"/>
    <sheet name="Examenes medicos " sheetId="41" r:id="rId4"/>
    <sheet name="Polizas, seguros y carta fianza" sheetId="42" r:id="rId5"/>
    <sheet name="Transporte de personal" sheetId="24" r:id="rId6"/>
    <sheet name="Viaticos-Alojam. " sheetId="3" r:id="rId7"/>
    <sheet name="Equipos y materiales" sheetId="22" r:id="rId8"/>
    <sheet name="Otros gastos" sheetId="43" r:id="rId9"/>
    <sheet name="Hoja9" sheetId="48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23" l="1"/>
  <c r="D4" i="23"/>
  <c r="H12" i="3"/>
  <c r="I6" i="22"/>
  <c r="F61" i="22"/>
  <c r="E61" i="22" l="1"/>
  <c r="E60" i="22"/>
  <c r="F60" i="22" s="1"/>
  <c r="F59" i="22"/>
  <c r="F58" i="22"/>
  <c r="F57" i="22"/>
  <c r="E21" i="23"/>
  <c r="C29" i="39"/>
  <c r="E58" i="22"/>
  <c r="E57" i="22"/>
  <c r="G7" i="24"/>
  <c r="G58" i="22" l="1"/>
  <c r="G57" i="22"/>
  <c r="G62" i="22" s="1"/>
  <c r="E6" i="22" s="1"/>
  <c r="F62" i="22"/>
  <c r="D6" i="22" s="1"/>
  <c r="H15" i="3"/>
  <c r="E30" i="39"/>
  <c r="C20" i="3"/>
  <c r="M20" i="39"/>
  <c r="C12" i="26" l="1"/>
  <c r="C30" i="39"/>
  <c r="H14" i="3"/>
  <c r="E70" i="22"/>
  <c r="F70" i="22" s="1"/>
  <c r="G70" i="22" s="1"/>
  <c r="F15" i="43"/>
  <c r="G15" i="43" s="1"/>
  <c r="F14" i="43"/>
  <c r="G14" i="43" s="1"/>
  <c r="F11" i="43"/>
  <c r="G11" i="43" s="1"/>
  <c r="F10" i="43"/>
  <c r="G10" i="43" s="1"/>
  <c r="F7" i="41"/>
  <c r="G7" i="41" s="1"/>
  <c r="F9" i="43"/>
  <c r="G9" i="43" s="1"/>
  <c r="F7" i="43"/>
  <c r="F8" i="42"/>
  <c r="G8" i="42" s="1"/>
  <c r="G12" i="42" s="1"/>
  <c r="F18" i="43" l="1"/>
  <c r="D2" i="43" s="1"/>
  <c r="G7" i="43"/>
  <c r="G18" i="43" s="1"/>
  <c r="E2" i="42"/>
  <c r="E3" i="42" s="1"/>
  <c r="F12" i="42"/>
  <c r="F8" i="41"/>
  <c r="D2" i="41" s="1"/>
  <c r="G8" i="41"/>
  <c r="E2" i="41" s="1"/>
  <c r="E2" i="43" l="1"/>
  <c r="E3" i="43" s="1"/>
  <c r="D3" i="43"/>
  <c r="D2" i="42"/>
  <c r="D3" i="42" s="1"/>
  <c r="E3" i="41"/>
  <c r="D3" i="41"/>
  <c r="C13" i="39" s="1"/>
  <c r="C14" i="39" s="1"/>
  <c r="H19" i="3"/>
  <c r="I19" i="3" s="1"/>
  <c r="G11" i="26"/>
  <c r="H11" i="26" s="1"/>
  <c r="G10" i="26"/>
  <c r="H10" i="26" s="1"/>
  <c r="H13" i="26" l="1"/>
  <c r="F5" i="26" s="1"/>
  <c r="F6" i="26" s="1"/>
  <c r="G13" i="26"/>
  <c r="E5" i="26" s="1"/>
  <c r="E6" i="26" s="1"/>
  <c r="C5" i="39" s="1"/>
  <c r="C6" i="39" s="1"/>
  <c r="E20" i="23" l="1"/>
  <c r="E18" i="23"/>
  <c r="I16" i="3" l="1"/>
  <c r="H11" i="3" l="1"/>
  <c r="I11" i="3" s="1"/>
  <c r="H18" i="3"/>
  <c r="I18" i="3" s="1"/>
  <c r="G8" i="24"/>
  <c r="H8" i="24" s="1"/>
  <c r="H7" i="24"/>
  <c r="H9" i="24" l="1"/>
  <c r="G9" i="24"/>
  <c r="E103" i="22"/>
  <c r="F103" i="22" s="1"/>
  <c r="G103" i="22" s="1"/>
  <c r="E2" i="24" l="1"/>
  <c r="F2" i="24"/>
  <c r="E89" i="22"/>
  <c r="F89" i="22" s="1"/>
  <c r="G89" i="22" s="1"/>
  <c r="E84" i="22"/>
  <c r="F84" i="22" s="1"/>
  <c r="G84" i="22" s="1"/>
  <c r="E90" i="22"/>
  <c r="F90" i="22" s="1"/>
  <c r="G90" i="22" s="1"/>
  <c r="D29" i="23"/>
  <c r="D28" i="23"/>
  <c r="D27" i="23"/>
  <c r="D26" i="23"/>
  <c r="D25" i="23"/>
  <c r="E19" i="23"/>
  <c r="E17" i="23"/>
  <c r="E16" i="23"/>
  <c r="E15" i="23"/>
  <c r="E14" i="23"/>
  <c r="E13" i="23"/>
  <c r="E12" i="23"/>
  <c r="E11" i="23"/>
  <c r="E10" i="23"/>
  <c r="E9" i="23"/>
  <c r="E8" i="23"/>
  <c r="E104" i="22"/>
  <c r="F104" i="22" s="1"/>
  <c r="G104" i="22" s="1"/>
  <c r="E102" i="22"/>
  <c r="F102" i="22" s="1"/>
  <c r="G102" i="22" s="1"/>
  <c r="E101" i="22"/>
  <c r="F101" i="22" s="1"/>
  <c r="G101" i="22" s="1"/>
  <c r="E100" i="22"/>
  <c r="F100" i="22" s="1"/>
  <c r="G100" i="22" s="1"/>
  <c r="E99" i="22"/>
  <c r="F99" i="22" s="1"/>
  <c r="G99" i="22" s="1"/>
  <c r="E98" i="22"/>
  <c r="F98" i="22" s="1"/>
  <c r="G98" i="22" s="1"/>
  <c r="E97" i="22"/>
  <c r="F97" i="22" s="1"/>
  <c r="G97" i="22" s="1"/>
  <c r="E96" i="22"/>
  <c r="F96" i="22" s="1"/>
  <c r="G96" i="22" s="1"/>
  <c r="E95" i="22"/>
  <c r="F95" i="22" s="1"/>
  <c r="G95" i="22" s="1"/>
  <c r="E94" i="22"/>
  <c r="F94" i="22" s="1"/>
  <c r="G94" i="22" s="1"/>
  <c r="E93" i="22"/>
  <c r="F93" i="22" s="1"/>
  <c r="G93" i="22" s="1"/>
  <c r="E92" i="22"/>
  <c r="F92" i="22" s="1"/>
  <c r="G92" i="22" s="1"/>
  <c r="E91" i="22"/>
  <c r="F91" i="22" s="1"/>
  <c r="G91" i="22" s="1"/>
  <c r="E88" i="22"/>
  <c r="F88" i="22" s="1"/>
  <c r="G88" i="22" s="1"/>
  <c r="E87" i="22"/>
  <c r="F87" i="22" s="1"/>
  <c r="G87" i="22" s="1"/>
  <c r="E86" i="22"/>
  <c r="F86" i="22" s="1"/>
  <c r="G86" i="22" s="1"/>
  <c r="E85" i="22"/>
  <c r="F85" i="22" s="1"/>
  <c r="G85" i="22" s="1"/>
  <c r="E83" i="22"/>
  <c r="F83" i="22" s="1"/>
  <c r="G83" i="22" s="1"/>
  <c r="E82" i="22"/>
  <c r="F82" i="22" s="1"/>
  <c r="G82" i="22" s="1"/>
  <c r="E81" i="22"/>
  <c r="F81" i="22" s="1"/>
  <c r="G81" i="22" s="1"/>
  <c r="E80" i="22"/>
  <c r="F80" i="22" s="1"/>
  <c r="G80" i="22" s="1"/>
  <c r="E79" i="22"/>
  <c r="F79" i="22" s="1"/>
  <c r="G79" i="22" s="1"/>
  <c r="E78" i="22"/>
  <c r="F78" i="22" s="1"/>
  <c r="G78" i="22" s="1"/>
  <c r="E77" i="22"/>
  <c r="F77" i="22" s="1"/>
  <c r="G77" i="22" s="1"/>
  <c r="E76" i="22"/>
  <c r="F76" i="22" s="1"/>
  <c r="G76" i="22" s="1"/>
  <c r="E75" i="22"/>
  <c r="F75" i="22" s="1"/>
  <c r="G75" i="22" s="1"/>
  <c r="E74" i="22"/>
  <c r="F74" i="22" s="1"/>
  <c r="G74" i="22" s="1"/>
  <c r="E73" i="22"/>
  <c r="E72" i="22"/>
  <c r="F72" i="22" s="1"/>
  <c r="G72" i="22" s="1"/>
  <c r="E71" i="22"/>
  <c r="F71" i="22" s="1"/>
  <c r="G71" i="22" s="1"/>
  <c r="E69" i="22"/>
  <c r="F69" i="22" s="1"/>
  <c r="G69" i="22" s="1"/>
  <c r="E68" i="22"/>
  <c r="F68" i="22" s="1"/>
  <c r="G68" i="22" s="1"/>
  <c r="E67" i="22"/>
  <c r="F67" i="22" s="1"/>
  <c r="E52" i="22"/>
  <c r="F52" i="22" s="1"/>
  <c r="G52" i="22" s="1"/>
  <c r="E51" i="22"/>
  <c r="F51" i="22" s="1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F12" i="22" s="1"/>
  <c r="H17" i="3"/>
  <c r="I17" i="3" s="1"/>
  <c r="H13" i="3"/>
  <c r="I13" i="3" s="1"/>
  <c r="I12" i="3"/>
  <c r="D30" i="23" l="1"/>
  <c r="D3" i="23" s="1"/>
  <c r="E22" i="23"/>
  <c r="F38" i="22"/>
  <c r="G38" i="22" s="1"/>
  <c r="F32" i="22"/>
  <c r="G32" i="22" s="1"/>
  <c r="F30" i="22"/>
  <c r="G30" i="22" s="1"/>
  <c r="F15" i="22"/>
  <c r="G15" i="22" s="1"/>
  <c r="F24" i="22"/>
  <c r="G24" i="22" s="1"/>
  <c r="F41" i="22"/>
  <c r="G41" i="22" s="1"/>
  <c r="F31" i="22"/>
  <c r="G31" i="22" s="1"/>
  <c r="F26" i="22"/>
  <c r="G26" i="22" s="1"/>
  <c r="F39" i="22"/>
  <c r="G39" i="22" s="1"/>
  <c r="F25" i="22"/>
  <c r="G25" i="22" s="1"/>
  <c r="F34" i="22"/>
  <c r="G34" i="22" s="1"/>
  <c r="F14" i="22"/>
  <c r="G14" i="22" s="1"/>
  <c r="F23" i="22"/>
  <c r="G23" i="22" s="1"/>
  <c r="F16" i="22"/>
  <c r="G16" i="22" s="1"/>
  <c r="F33" i="22"/>
  <c r="G33" i="22" s="1"/>
  <c r="F18" i="22"/>
  <c r="G18" i="22" s="1"/>
  <c r="F42" i="22"/>
  <c r="G42" i="22" s="1"/>
  <c r="F27" i="22"/>
  <c r="G27" i="22" s="1"/>
  <c r="F43" i="22"/>
  <c r="G43" i="22" s="1"/>
  <c r="F28" i="22"/>
  <c r="G28" i="22" s="1"/>
  <c r="F36" i="22"/>
  <c r="G36" i="22" s="1"/>
  <c r="F44" i="22"/>
  <c r="G44" i="22" s="1"/>
  <c r="F22" i="22"/>
  <c r="G22" i="22" s="1"/>
  <c r="F40" i="22"/>
  <c r="G40" i="22" s="1"/>
  <c r="F17" i="22"/>
  <c r="G17" i="22" s="1"/>
  <c r="F19" i="22"/>
  <c r="G19" i="22" s="1"/>
  <c r="F20" i="22"/>
  <c r="G20" i="22" s="1"/>
  <c r="F13" i="22"/>
  <c r="G13" i="22" s="1"/>
  <c r="F21" i="22"/>
  <c r="G21" i="22" s="1"/>
  <c r="F29" i="22"/>
  <c r="G29" i="22" s="1"/>
  <c r="F73" i="22"/>
  <c r="F105" i="22" s="1"/>
  <c r="D7" i="22" s="1"/>
  <c r="F45" i="22"/>
  <c r="G45" i="22" s="1"/>
  <c r="F37" i="22"/>
  <c r="G37" i="22" s="1"/>
  <c r="F35" i="22"/>
  <c r="G35" i="22" s="1"/>
  <c r="E3" i="24"/>
  <c r="C17" i="39" s="1"/>
  <c r="C18" i="39" s="1"/>
  <c r="F3" i="24"/>
  <c r="G12" i="22"/>
  <c r="G67" i="22"/>
  <c r="F53" i="22"/>
  <c r="D5" i="22" s="1"/>
  <c r="G51" i="22"/>
  <c r="G53" i="22" s="1"/>
  <c r="E5" i="22" s="1"/>
  <c r="H21" i="3"/>
  <c r="I21" i="3"/>
  <c r="C9" i="39" l="1"/>
  <c r="C10" i="39" s="1"/>
  <c r="F46" i="22"/>
  <c r="F107" i="22" s="1"/>
  <c r="G73" i="22"/>
  <c r="G105" i="22"/>
  <c r="E7" i="22" s="1"/>
  <c r="G46" i="22"/>
  <c r="E4" i="22" s="1"/>
  <c r="C4" i="3"/>
  <c r="D4" i="3"/>
  <c r="E8" i="22" l="1"/>
  <c r="D4" i="22"/>
  <c r="G107" i="22"/>
  <c r="D5" i="3"/>
  <c r="D8" i="22"/>
  <c r="C21" i="39" s="1"/>
  <c r="C22" i="39" s="1"/>
  <c r="C5" i="3"/>
  <c r="C25" i="39" s="1"/>
  <c r="C26" i="39" s="1"/>
  <c r="C33" i="39" l="1"/>
  <c r="C34" i="39" s="1"/>
  <c r="C35" i="39" l="1"/>
  <c r="C36" i="39" s="1"/>
  <c r="C38" i="39" s="1"/>
  <c r="C39" i="39" s="1"/>
  <c r="E34" i="39" l="1"/>
  <c r="E33" i="39"/>
  <c r="I40" i="39"/>
  <c r="I38" i="39"/>
  <c r="I41" i="39"/>
  <c r="I39" i="39"/>
  <c r="E35" i="39"/>
  <c r="I43" i="39" l="1"/>
</calcChain>
</file>

<file path=xl/sharedStrings.xml><?xml version="1.0" encoding="utf-8"?>
<sst xmlns="http://schemas.openxmlformats.org/spreadsheetml/2006/main" count="385" uniqueCount="220">
  <si>
    <t>Bienes y Servicios</t>
  </si>
  <si>
    <t>MESES</t>
  </si>
  <si>
    <t>Manejo de residuos sólidos (EPS)</t>
  </si>
  <si>
    <t>Depósito en campo de herramientas y equipos</t>
  </si>
  <si>
    <t>TOTAL</t>
  </si>
  <si>
    <t>PERSONAL DE GESTION</t>
  </si>
  <si>
    <t>Cantidad</t>
  </si>
  <si>
    <t>Costo por mes</t>
  </si>
  <si>
    <t>Alimentación</t>
  </si>
  <si>
    <t>Hospedaje</t>
  </si>
  <si>
    <t>Pasaje Aéreo ida y vuelta</t>
  </si>
  <si>
    <t>Unidad</t>
  </si>
  <si>
    <t>COSTO S/.</t>
  </si>
  <si>
    <t>HONORARIOS</t>
  </si>
  <si>
    <t>Costo mensual  S/.</t>
  </si>
  <si>
    <t>ALIMENTACION, HOSPEDAJE Y PASAJES AEREOS</t>
  </si>
  <si>
    <t>Baños quimicos portátiles</t>
  </si>
  <si>
    <t>Ploteos, impresiones,  Copias Planos Cartográficos, Topográficos y Planimétricos.</t>
  </si>
  <si>
    <t>Coaster</t>
  </si>
  <si>
    <t>Unid</t>
  </si>
  <si>
    <t>Soles</t>
  </si>
  <si>
    <t>USD</t>
  </si>
  <si>
    <t>COSTO TOTAL PROYECTO SOLES</t>
  </si>
  <si>
    <t>COSTO TOTAL PROYECTO USD</t>
  </si>
  <si>
    <t>Seguros y Otros</t>
  </si>
  <si>
    <t>BIENES Y SERVICIOS</t>
  </si>
  <si>
    <t>SEGUROS Y OTROS</t>
  </si>
  <si>
    <t>TOTAL              SOLES</t>
  </si>
  <si>
    <t>TOTAL              USD</t>
  </si>
  <si>
    <t>MATERIALES</t>
  </si>
  <si>
    <t>S/</t>
  </si>
  <si>
    <t>US $</t>
  </si>
  <si>
    <t>MATERIALES DE REGISTRO</t>
  </si>
  <si>
    <t>MATERIALES DE CONSERVACION</t>
  </si>
  <si>
    <t>HERRAMIENTAS</t>
  </si>
  <si>
    <t>Descripción Insumo</t>
  </si>
  <si>
    <t>Precio x Unidad</t>
  </si>
  <si>
    <t>Costo</t>
  </si>
  <si>
    <t>COSTO TOTAL PROYECTO S/.</t>
  </si>
  <si>
    <t>COSTO TOTAL PROYECTO US $</t>
  </si>
  <si>
    <t>MATERIALES DE REGISTRO ARQUEOLOGICO</t>
  </si>
  <si>
    <t>Cuaderno cuadriculado de 100 hojas</t>
  </si>
  <si>
    <t>UND</t>
  </si>
  <si>
    <t>Papel Milimetrado Minerva A4 de 80g</t>
  </si>
  <si>
    <t>BLOCK</t>
  </si>
  <si>
    <t>Papel aluminio</t>
  </si>
  <si>
    <t>Lapiceros</t>
  </si>
  <si>
    <t>CAJA</t>
  </si>
  <si>
    <t>Masking Tape de 1 pulg.</t>
  </si>
  <si>
    <t>Masking Tape de 1/2 pulg.</t>
  </si>
  <si>
    <t>Cinta de embalaje</t>
  </si>
  <si>
    <t xml:space="preserve">Portaminas 0.5 mm </t>
  </si>
  <si>
    <t xml:space="preserve">Minas 0.5 mm HB </t>
  </si>
  <si>
    <t>Plumon permanente punta fina - negro</t>
  </si>
  <si>
    <t>Marcador permanente punta gruesa - negro</t>
  </si>
  <si>
    <t>Plumon recargable para pizarra acrilica color negro</t>
  </si>
  <si>
    <t>Tablero acrilico A4</t>
  </si>
  <si>
    <t>Escalimetros de 30 cm</t>
  </si>
  <si>
    <t xml:space="preserve">Pizarras acrilicas pequeñas </t>
  </si>
  <si>
    <t>Cola Sintetica Blanca</t>
  </si>
  <si>
    <t>LT</t>
  </si>
  <si>
    <t>Papel de Seda Blanco</t>
  </si>
  <si>
    <t>CTO</t>
  </si>
  <si>
    <t>Papel kraft</t>
  </si>
  <si>
    <t>Borrador</t>
  </si>
  <si>
    <t>Goma en barra</t>
  </si>
  <si>
    <t>Tinta para plumón</t>
  </si>
  <si>
    <t>Papel mantequilla</t>
  </si>
  <si>
    <t>Pilas alcalinas AAA</t>
  </si>
  <si>
    <t>PARES</t>
  </si>
  <si>
    <t>Cajas de cartón corrugado 30x45x11</t>
  </si>
  <si>
    <t>Amarres</t>
  </si>
  <si>
    <t>MLL</t>
  </si>
  <si>
    <t>Ziplop 2x2</t>
  </si>
  <si>
    <t>Bolsa de papel N° 2</t>
  </si>
  <si>
    <t>Bolsa de papel N° 4</t>
  </si>
  <si>
    <t>Bolsa de papel N° 12</t>
  </si>
  <si>
    <t>Bolsas de Polietileno 4x8x2</t>
  </si>
  <si>
    <t>Bolsas de Polietileno 8x12x3</t>
  </si>
  <si>
    <t>Bolsas de Polietileno 11x16x3</t>
  </si>
  <si>
    <t>Bolsas de Polietileno 5x10x2</t>
  </si>
  <si>
    <t>Bombin N° 10</t>
  </si>
  <si>
    <t>Precio</t>
  </si>
  <si>
    <t>Set de restauracion de piezas exhumadas</t>
  </si>
  <si>
    <t>SET</t>
  </si>
  <si>
    <t>Kit de analisis de material Cerámico</t>
  </si>
  <si>
    <t>HERRAMIENTAS MANUALES</t>
  </si>
  <si>
    <t>Brochas Tumi de 5"</t>
  </si>
  <si>
    <t>Brochas Tumi de 4"</t>
  </si>
  <si>
    <t>Brochas Tumi de 3"</t>
  </si>
  <si>
    <t xml:space="preserve">Badilejos </t>
  </si>
  <si>
    <t>Aspersores</t>
  </si>
  <si>
    <t>Wincha de 5 m</t>
  </si>
  <si>
    <t>Wincha de 50 m</t>
  </si>
  <si>
    <t>Lampa cuchara</t>
  </si>
  <si>
    <t xml:space="preserve">Pico </t>
  </si>
  <si>
    <t>Picota</t>
  </si>
  <si>
    <t>Plomada</t>
  </si>
  <si>
    <t>Metro de madera de 2 m.</t>
  </si>
  <si>
    <t>Rastrillo de 16 dientes</t>
  </si>
  <si>
    <t>mangos de lampas cucharas</t>
  </si>
  <si>
    <t>Cucharon de acero inoxidable de 1 K.</t>
  </si>
  <si>
    <t>Cucharon de acero inoxidable de 1/2 K.</t>
  </si>
  <si>
    <t>Cucharon de acero inoxidable de 1/4 K.</t>
  </si>
  <si>
    <t>Guantes Qirurgicos descartables</t>
  </si>
  <si>
    <t xml:space="preserve">nivel aereo </t>
  </si>
  <si>
    <t>aguja de arriero</t>
  </si>
  <si>
    <t>Bateas chicas</t>
  </si>
  <si>
    <t>Bateas grandes</t>
  </si>
  <si>
    <t>nivel de mano de 12"</t>
  </si>
  <si>
    <t>aro con rodaje completo de carretilla</t>
  </si>
  <si>
    <t>inflador</t>
  </si>
  <si>
    <t>Carretilla Buggys</t>
  </si>
  <si>
    <t>llantas de buguies</t>
  </si>
  <si>
    <t>Zaranda metalica</t>
  </si>
  <si>
    <t>Baldes de metal</t>
  </si>
  <si>
    <t>Espatula</t>
  </si>
  <si>
    <t>Escalera de madera  3.25 m</t>
  </si>
  <si>
    <t>Clavos de 5 Pulgadas</t>
  </si>
  <si>
    <t>MILLAR</t>
  </si>
  <si>
    <t>Cordel</t>
  </si>
  <si>
    <t>CONO</t>
  </si>
  <si>
    <t xml:space="preserve">S/. </t>
  </si>
  <si>
    <t>Equipos proteccion personal</t>
  </si>
  <si>
    <t>Señalizaciòn y otros</t>
  </si>
  <si>
    <t xml:space="preserve">Total </t>
  </si>
  <si>
    <t>Equipo de Proteccion Personal</t>
  </si>
  <si>
    <t>COSTOS UNITARIOS EPP</t>
  </si>
  <si>
    <t>NÚMERO DE PERSONAS</t>
  </si>
  <si>
    <t>COSTO PERSONAL CAMPO</t>
  </si>
  <si>
    <t>COSTO TOTAL S/.</t>
  </si>
  <si>
    <t xml:space="preserve">Chalecos Reflectantes </t>
  </si>
  <si>
    <t>Lentes seguridad</t>
  </si>
  <si>
    <t xml:space="preserve">Casco de Seguridad </t>
  </si>
  <si>
    <t>Mascarilla Polvo Simple (ciento)</t>
  </si>
  <si>
    <t>Guantes quirurgicos</t>
  </si>
  <si>
    <t>Guantes de cuero</t>
  </si>
  <si>
    <t>Botas de PVC con punta</t>
  </si>
  <si>
    <t>Capotin para Lluvia</t>
  </si>
  <si>
    <t>Respiradores doble vía</t>
  </si>
  <si>
    <t>Repuesto de filtro de respiradores</t>
  </si>
  <si>
    <t>Señalizacion y otros</t>
  </si>
  <si>
    <t>COSTOS UNITARIOS</t>
  </si>
  <si>
    <t xml:space="preserve">Botiquin </t>
  </si>
  <si>
    <t>Rollo Malla de Faena</t>
  </si>
  <si>
    <t>Poste Señalizacion o Estaca de madera</t>
  </si>
  <si>
    <t>Cinta de señalizacion</t>
  </si>
  <si>
    <t>Letreros de señalizacion</t>
  </si>
  <si>
    <t>SUBTOTAL 01</t>
  </si>
  <si>
    <t>SUBTOTAL 02</t>
  </si>
  <si>
    <t>SUBTOTAL 03</t>
  </si>
  <si>
    <t>IGV (18%)</t>
  </si>
  <si>
    <t>Global</t>
  </si>
  <si>
    <t>SUBTOTAL GENERAL</t>
  </si>
  <si>
    <t xml:space="preserve">Costales </t>
  </si>
  <si>
    <t>rastrillo de 16 dientes</t>
  </si>
  <si>
    <t>Bloqueador</t>
  </si>
  <si>
    <t>Barretas de acero</t>
  </si>
  <si>
    <t>informes periodicos</t>
  </si>
  <si>
    <t>Bus Transporte Personal (*)</t>
  </si>
  <si>
    <t>Alquiler Camioneta 4x4 (*)</t>
  </si>
  <si>
    <t>Estaca de madera</t>
  </si>
  <si>
    <t>TOTAL GENERAL</t>
  </si>
  <si>
    <t>EPPS</t>
  </si>
  <si>
    <t xml:space="preserve">Director de Proyecto de evaluacion </t>
  </si>
  <si>
    <t>Arqlos de Campo</t>
  </si>
  <si>
    <t>Arqlo de gabinete</t>
  </si>
  <si>
    <t>UNIDADES PARA 1 MESES</t>
  </si>
  <si>
    <t xml:space="preserve">HONORARIOS DE PERSONAL </t>
  </si>
  <si>
    <t>Equipos de proteccion, señalizacion y otros</t>
  </si>
  <si>
    <t>viaticos y traslados</t>
  </si>
  <si>
    <t>SUBTOTAL 04</t>
  </si>
  <si>
    <t>SUBTOTAL 05</t>
  </si>
  <si>
    <t>alcohol gel, mascarillas kit x persona</t>
  </si>
  <si>
    <t>Desinfectantes y fumigadores</t>
  </si>
  <si>
    <t>Enfermera</t>
  </si>
  <si>
    <t>Supervisor de seguridad</t>
  </si>
  <si>
    <t>Arqueologo residente</t>
  </si>
  <si>
    <t>Arqueologo analista: ceramica, litico</t>
  </si>
  <si>
    <t>obrero(agua y refrigerio)</t>
  </si>
  <si>
    <t>Transporte de personal</t>
  </si>
  <si>
    <t>transporte del personal</t>
  </si>
  <si>
    <t>Examenes medicos</t>
  </si>
  <si>
    <t>Carta de fiel cumplimiento</t>
  </si>
  <si>
    <t>Seguro de Responsabilidad civil General comercial</t>
  </si>
  <si>
    <t xml:space="preserve">Seguros (SCTR Pension y salud, Seguro Vida) </t>
  </si>
  <si>
    <t>PAGOS MC</t>
  </si>
  <si>
    <t>Por Informe final</t>
  </si>
  <si>
    <t>Otros gastos</t>
  </si>
  <si>
    <t>ALQUILERES</t>
  </si>
  <si>
    <t xml:space="preserve">Carretillas bugui </t>
  </si>
  <si>
    <t>TRANSPORTE DE PERSONAL</t>
  </si>
  <si>
    <t xml:space="preserve">Transporte </t>
  </si>
  <si>
    <t>EQUIPOS Y MATERIALES</t>
  </si>
  <si>
    <t>OTROS GASTOS</t>
  </si>
  <si>
    <t>Gastos diversos: alquilers, ploteos pagos TUPA</t>
  </si>
  <si>
    <t>Honorarios</t>
  </si>
  <si>
    <t>SUBTOTAL 06</t>
  </si>
  <si>
    <t>SUBTOTAL 07</t>
  </si>
  <si>
    <t>(*) Incluye conductores,seguros, EPP,viaticos,combustible )</t>
  </si>
  <si>
    <t>COSTOS PROYECTO DE EVALUACION ARQUEOLOGICA</t>
  </si>
  <si>
    <t xml:space="preserve">(*) Gastos Generales, considera: Alquiler de oficina, Mantenimiento, Servicios básicos, Apoyo personal de Lima, Costo de contratos , Asesoria legal, Costos financieros, entre otros.                                                                                                                                                                      </t>
  </si>
  <si>
    <t>Asumidos por la empresa</t>
  </si>
  <si>
    <t>Utilidad (8%)</t>
  </si>
  <si>
    <t>Conductor</t>
  </si>
  <si>
    <t>EQUIPOS INFORMÁTICOS</t>
  </si>
  <si>
    <t>Laptop</t>
  </si>
  <si>
    <t>GPS</t>
  </si>
  <si>
    <t>Por presentacion de PMA</t>
  </si>
  <si>
    <t>Examenes Medicos - POLIZAS SEGUROS</t>
  </si>
  <si>
    <t>SCTR, Examenes médicos Staff y incluye pruebas COVID)</t>
  </si>
  <si>
    <t>EQUIPOS INFORMATICOS</t>
  </si>
  <si>
    <t>Examenes médicos Staff y Obreros incluye prueba COVID)</t>
  </si>
  <si>
    <t>kit AntiCovid</t>
  </si>
  <si>
    <t>Gastos Generales (10%) *</t>
  </si>
  <si>
    <t>Drone modelo: 601 S -1080 P GPS/Glonass cámara 4K HD</t>
  </si>
  <si>
    <t>UN.</t>
  </si>
  <si>
    <t xml:space="preserve">Impresora </t>
  </si>
  <si>
    <t>Cámara fotográfica</t>
  </si>
  <si>
    <t>UNIDADES PARA 12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</si>
</sst>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.&quot;\ #,##0.00"/>
  </numFmts>
  <fonts count="2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MS Sans Serif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4">
    <xf numFmtId="0" fontId="0" fillId="0" borderId="0" xfId="0"/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4" fontId="6" fillId="2" borderId="19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0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11" xfId="0" applyFont="1" applyBorder="1" applyAlignment="1">
      <alignment wrapText="1"/>
    </xf>
    <xf numFmtId="0" fontId="0" fillId="0" borderId="26" xfId="0" applyFont="1" applyBorder="1" applyAlignment="1">
      <alignment horizontal="center" vertical="center" wrapText="1"/>
    </xf>
    <xf numFmtId="4" fontId="6" fillId="2" borderId="27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4" fontId="7" fillId="0" borderId="28" xfId="0" applyNumberFormat="1" applyFont="1" applyFill="1" applyBorder="1" applyAlignment="1">
      <alignment horizontal="right" vertical="center"/>
    </xf>
    <xf numFmtId="4" fontId="7" fillId="0" borderId="29" xfId="0" applyNumberFormat="1" applyFont="1" applyFill="1" applyBorder="1" applyAlignment="1">
      <alignment horizontal="right" vertical="center"/>
    </xf>
    <xf numFmtId="0" fontId="6" fillId="5" borderId="30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vertical="center"/>
    </xf>
    <xf numFmtId="4" fontId="0" fillId="0" borderId="39" xfId="0" applyNumberFormat="1" applyFon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4" fontId="0" fillId="0" borderId="38" xfId="0" applyNumberFormat="1" applyBorder="1" applyAlignment="1">
      <alignment horizontal="right" vertical="center"/>
    </xf>
    <xf numFmtId="4" fontId="0" fillId="0" borderId="39" xfId="0" applyNumberFormat="1" applyBorder="1" applyAlignment="1">
      <alignment horizontal="right" vertical="center"/>
    </xf>
    <xf numFmtId="4" fontId="6" fillId="2" borderId="19" xfId="0" applyNumberFormat="1" applyFont="1" applyFill="1" applyBorder="1" applyAlignment="1">
      <alignment horizontal="right" vertical="center"/>
    </xf>
    <xf numFmtId="0" fontId="3" fillId="0" borderId="0" xfId="1" applyFont="1"/>
    <xf numFmtId="0" fontId="2" fillId="0" borderId="0" xfId="1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49" fontId="0" fillId="0" borderId="0" xfId="0" applyNumberForma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" fontId="0" fillId="0" borderId="0" xfId="0" applyNumberFormat="1"/>
    <xf numFmtId="0" fontId="12" fillId="0" borderId="0" xfId="0" applyFont="1" applyAlignment="1">
      <alignment wrapText="1"/>
    </xf>
    <xf numFmtId="0" fontId="12" fillId="0" borderId="0" xfId="0" applyFont="1"/>
    <xf numFmtId="4" fontId="12" fillId="0" borderId="0" xfId="0" applyNumberFormat="1" applyFont="1" applyAlignment="1">
      <alignment wrapText="1"/>
    </xf>
    <xf numFmtId="4" fontId="12" fillId="0" borderId="0" xfId="0" applyNumberFormat="1" applyFont="1" applyFill="1" applyAlignment="1">
      <alignment wrapText="1"/>
    </xf>
    <xf numFmtId="4" fontId="12" fillId="0" borderId="0" xfId="0" applyNumberFormat="1" applyFont="1"/>
    <xf numFmtId="0" fontId="0" fillId="0" borderId="0" xfId="0" applyFont="1" applyFill="1"/>
    <xf numFmtId="9" fontId="0" fillId="0" borderId="0" xfId="0" applyNumberFormat="1"/>
    <xf numFmtId="0" fontId="6" fillId="3" borderId="12" xfId="0" applyFont="1" applyFill="1" applyBorder="1" applyAlignment="1">
      <alignment horizontal="center" vertical="center"/>
    </xf>
    <xf numFmtId="0" fontId="0" fillId="0" borderId="0" xfId="0" applyFill="1" applyBorder="1"/>
    <xf numFmtId="4" fontId="14" fillId="0" borderId="0" xfId="0" applyNumberFormat="1" applyFont="1" applyFill="1" applyBorder="1" applyAlignment="1">
      <alignment horizontal="right" vertical="center"/>
    </xf>
    <xf numFmtId="0" fontId="15" fillId="5" borderId="30" xfId="0" applyFont="1" applyFill="1" applyBorder="1" applyAlignment="1">
      <alignment horizontal="center" vertical="center" wrapText="1"/>
    </xf>
    <xf numFmtId="0" fontId="15" fillId="5" borderId="40" xfId="0" applyFont="1" applyFill="1" applyBorder="1" applyAlignment="1">
      <alignment horizontal="center" vertical="center" wrapText="1"/>
    </xf>
    <xf numFmtId="0" fontId="16" fillId="0" borderId="14" xfId="1" applyFont="1" applyBorder="1" applyAlignment="1">
      <alignment vertical="center"/>
    </xf>
    <xf numFmtId="0" fontId="15" fillId="5" borderId="41" xfId="0" applyFont="1" applyFill="1" applyBorder="1" applyAlignment="1">
      <alignment horizontal="center" vertical="center" wrapText="1"/>
    </xf>
    <xf numFmtId="0" fontId="17" fillId="0" borderId="22" xfId="1" applyFont="1" applyBorder="1" applyAlignment="1">
      <alignment vertical="center"/>
    </xf>
    <xf numFmtId="0" fontId="17" fillId="0" borderId="24" xfId="1" applyFont="1" applyBorder="1" applyAlignment="1">
      <alignment horizontal="center" vertical="center"/>
    </xf>
    <xf numFmtId="0" fontId="17" fillId="0" borderId="16" xfId="1" applyFont="1" applyBorder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17" fillId="0" borderId="17" xfId="1" applyFont="1" applyBorder="1" applyAlignment="1">
      <alignment vertical="center"/>
    </xf>
    <xf numFmtId="0" fontId="17" fillId="0" borderId="0" xfId="1" applyFont="1"/>
    <xf numFmtId="0" fontId="0" fillId="0" borderId="0" xfId="0" applyFont="1" applyBorder="1"/>
    <xf numFmtId="0" fontId="7" fillId="0" borderId="57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4" fontId="7" fillId="0" borderId="58" xfId="0" applyNumberFormat="1" applyFont="1" applyFill="1" applyBorder="1" applyAlignment="1">
      <alignment horizontal="right" vertical="center"/>
    </xf>
    <xf numFmtId="4" fontId="7" fillId="0" borderId="47" xfId="0" applyNumberFormat="1" applyFont="1" applyFill="1" applyBorder="1" applyAlignment="1">
      <alignment horizontal="right" vertical="center"/>
    </xf>
    <xf numFmtId="0" fontId="5" fillId="3" borderId="1" xfId="1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 vertical="center" wrapText="1"/>
    </xf>
    <xf numFmtId="0" fontId="16" fillId="0" borderId="37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3" xfId="1" applyFont="1" applyBorder="1" applyAlignment="1">
      <alignment horizontal="center" vertical="center"/>
    </xf>
    <xf numFmtId="0" fontId="16" fillId="0" borderId="42" xfId="1" applyFont="1" applyBorder="1" applyAlignment="1">
      <alignment vertical="center"/>
    </xf>
    <xf numFmtId="4" fontId="17" fillId="0" borderId="16" xfId="1" applyNumberFormat="1" applyFont="1" applyBorder="1" applyAlignment="1">
      <alignment vertical="center"/>
    </xf>
    <xf numFmtId="0" fontId="17" fillId="0" borderId="16" xfId="1" applyFont="1" applyFill="1" applyBorder="1" applyAlignment="1">
      <alignment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1" fontId="17" fillId="0" borderId="0" xfId="1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4" fontId="6" fillId="2" borderId="1" xfId="0" applyNumberFormat="1" applyFont="1" applyFill="1" applyBorder="1"/>
    <xf numFmtId="0" fontId="0" fillId="0" borderId="1" xfId="0" applyBorder="1"/>
    <xf numFmtId="0" fontId="6" fillId="0" borderId="1" xfId="0" applyFont="1" applyFill="1" applyBorder="1" applyAlignment="1">
      <alignment horizontal="center"/>
    </xf>
    <xf numFmtId="4" fontId="6" fillId="0" borderId="1" xfId="0" applyNumberFormat="1" applyFont="1" applyFill="1" applyBorder="1"/>
    <xf numFmtId="0" fontId="13" fillId="7" borderId="1" xfId="0" applyFont="1" applyFill="1" applyBorder="1" applyAlignment="1">
      <alignment horizontal="center"/>
    </xf>
    <xf numFmtId="4" fontId="13" fillId="7" borderId="1" xfId="0" applyNumberFormat="1" applyFont="1" applyFill="1" applyBorder="1"/>
    <xf numFmtId="0" fontId="0" fillId="0" borderId="0" xfId="0" applyFill="1"/>
    <xf numFmtId="0" fontId="7" fillId="0" borderId="0" xfId="0" applyFont="1" applyFill="1"/>
    <xf numFmtId="0" fontId="10" fillId="0" borderId="4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4" fontId="10" fillId="0" borderId="38" xfId="0" applyNumberFormat="1" applyFont="1" applyBorder="1" applyAlignment="1">
      <alignment horizontal="center" vertical="center"/>
    </xf>
    <xf numFmtId="4" fontId="10" fillId="0" borderId="29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wrapText="1"/>
    </xf>
    <xf numFmtId="4" fontId="11" fillId="2" borderId="1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4" borderId="3" xfId="0" applyNumberFormat="1" applyFont="1" applyFill="1" applyBorder="1" applyAlignment="1">
      <alignment horizontal="right" vertical="center"/>
    </xf>
    <xf numFmtId="0" fontId="20" fillId="6" borderId="22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righ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4" fontId="10" fillId="4" borderId="23" xfId="0" applyNumberFormat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" fontId="10" fillId="0" borderId="2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0" fontId="20" fillId="6" borderId="16" xfId="0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11" xfId="0" applyFont="1" applyBorder="1" applyAlignment="1">
      <alignment wrapText="1"/>
    </xf>
    <xf numFmtId="0" fontId="10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4" fontId="11" fillId="2" borderId="27" xfId="0" applyNumberFormat="1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/>
    <xf numFmtId="0" fontId="11" fillId="5" borderId="32" xfId="0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4" fontId="18" fillId="4" borderId="3" xfId="0" applyNumberFormat="1" applyFont="1" applyFill="1" applyBorder="1" applyAlignment="1">
      <alignment horizontal="right" vertical="center" wrapText="1"/>
    </xf>
    <xf numFmtId="4" fontId="18" fillId="4" borderId="32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1" fillId="0" borderId="0" xfId="0" applyFont="1" applyAlignment="1">
      <alignment wrapText="1"/>
    </xf>
    <xf numFmtId="0" fontId="21" fillId="0" borderId="0" xfId="0" applyFont="1" applyFill="1" applyAlignment="1">
      <alignment wrapText="1"/>
    </xf>
    <xf numFmtId="4" fontId="10" fillId="0" borderId="39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20" fillId="0" borderId="4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4" fontId="20" fillId="0" borderId="2" xfId="0" applyNumberFormat="1" applyFont="1" applyFill="1" applyBorder="1" applyAlignment="1">
      <alignment horizontal="right" vertical="center"/>
    </xf>
    <xf numFmtId="4" fontId="20" fillId="0" borderId="7" xfId="0" applyNumberFormat="1" applyFont="1" applyFill="1" applyBorder="1" applyAlignment="1">
      <alignment horizontal="right" vertical="center"/>
    </xf>
    <xf numFmtId="4" fontId="20" fillId="0" borderId="3" xfId="0" applyNumberFormat="1" applyFont="1" applyFill="1" applyBorder="1" applyAlignment="1">
      <alignment horizontal="right" vertical="center"/>
    </xf>
    <xf numFmtId="0" fontId="11" fillId="3" borderId="10" xfId="0" applyFont="1" applyFill="1" applyBorder="1" applyAlignment="1">
      <alignment horizontal="center"/>
    </xf>
    <xf numFmtId="12" fontId="10" fillId="0" borderId="1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4" fontId="10" fillId="4" borderId="3" xfId="0" applyNumberFormat="1" applyFont="1" applyFill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1" fillId="3" borderId="1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48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13" fillId="7" borderId="11" xfId="0" applyFont="1" applyFill="1" applyBorder="1" applyAlignment="1">
      <alignment horizontal="center" wrapText="1"/>
    </xf>
    <xf numFmtId="0" fontId="13" fillId="7" borderId="26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19" fillId="5" borderId="35" xfId="0" applyFont="1" applyFill="1" applyBorder="1" applyAlignment="1">
      <alignment horizontal="center" vertical="center" wrapText="1"/>
    </xf>
    <xf numFmtId="0" fontId="19" fillId="5" borderId="22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4" fontId="11" fillId="5" borderId="48" xfId="0" applyNumberFormat="1" applyFont="1" applyFill="1" applyBorder="1" applyAlignment="1">
      <alignment horizontal="center" vertical="center"/>
    </xf>
    <xf numFmtId="4" fontId="11" fillId="5" borderId="51" xfId="0" applyNumberFormat="1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49" xfId="0" applyFont="1" applyFill="1" applyBorder="1" applyAlignment="1">
      <alignment horizontal="center" vertical="center" wrapText="1"/>
    </xf>
    <xf numFmtId="0" fontId="19" fillId="5" borderId="5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5" fillId="5" borderId="18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5" fillId="5" borderId="46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5" fillId="5" borderId="52" xfId="0" applyFont="1" applyFill="1" applyBorder="1" applyAlignment="1">
      <alignment horizontal="center" vertical="center" wrapText="1"/>
    </xf>
    <xf numFmtId="0" fontId="15" fillId="5" borderId="53" xfId="0" applyFont="1" applyFill="1" applyBorder="1" applyAlignment="1">
      <alignment horizontal="center" vertical="center" wrapText="1"/>
    </xf>
    <xf numFmtId="0" fontId="15" fillId="5" borderId="54" xfId="0" applyFont="1" applyFill="1" applyBorder="1" applyAlignment="1">
      <alignment horizontal="center" vertical="center" wrapText="1"/>
    </xf>
    <xf numFmtId="4" fontId="18" fillId="4" borderId="29" xfId="0" applyNumberFormat="1" applyFont="1" applyFill="1" applyBorder="1" applyAlignment="1">
      <alignment horizontal="right" vertical="center" wrapText="1"/>
    </xf>
    <xf numFmtId="4" fontId="18" fillId="4" borderId="7" xfId="0" applyNumberFormat="1" applyFont="1" applyFill="1" applyBorder="1" applyAlignment="1">
      <alignment horizontal="right"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9" xfId="0" applyFont="1" applyBorder="1"/>
    <xf numFmtId="0" fontId="10" fillId="0" borderId="59" xfId="0" applyFont="1" applyBorder="1" applyAlignment="1">
      <alignment horizontal="center" vertical="center"/>
    </xf>
    <xf numFmtId="4" fontId="18" fillId="4" borderId="3" xfId="0" applyNumberFormat="1" applyFont="1" applyFill="1" applyBorder="1" applyAlignment="1">
      <alignment horizontal="center" vertical="center" wrapText="1"/>
    </xf>
    <xf numFmtId="4" fontId="18" fillId="4" borderId="46" xfId="0" applyNumberFormat="1" applyFont="1" applyFill="1" applyBorder="1" applyAlignment="1">
      <alignment horizontal="center" vertical="center" wrapText="1"/>
    </xf>
    <xf numFmtId="4" fontId="18" fillId="4" borderId="7" xfId="0" applyNumberFormat="1" applyFont="1" applyFill="1" applyBorder="1" applyAlignment="1">
      <alignment horizontal="center" vertical="center" wrapText="1"/>
    </xf>
    <xf numFmtId="4" fontId="18" fillId="4" borderId="32" xfId="0" applyNumberFormat="1" applyFont="1" applyFill="1" applyBorder="1" applyAlignment="1">
      <alignment horizontal="center" vertical="center" wrapText="1"/>
    </xf>
    <xf numFmtId="4" fontId="11" fillId="2" borderId="60" xfId="0" applyNumberFormat="1" applyFont="1" applyFill="1" applyBorder="1" applyAlignment="1">
      <alignment horizontal="center"/>
    </xf>
    <xf numFmtId="4" fontId="11" fillId="2" borderId="61" xfId="0" applyNumberFormat="1" applyFont="1" applyFill="1" applyBorder="1" applyAlignment="1">
      <alignment horizontal="center"/>
    </xf>
    <xf numFmtId="4" fontId="0" fillId="0" borderId="0" xfId="0" applyNumberFormat="1" applyFill="1" applyBorder="1"/>
    <xf numFmtId="4" fontId="10" fillId="0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" fontId="3" fillId="0" borderId="0" xfId="1" applyNumberFormat="1" applyFont="1" applyAlignment="1">
      <alignment horizontal="center"/>
    </xf>
    <xf numFmtId="1" fontId="17" fillId="0" borderId="24" xfId="1" applyNumberFormat="1" applyFont="1" applyBorder="1" applyAlignment="1">
      <alignment horizontal="center" vertical="center"/>
    </xf>
    <xf numFmtId="1" fontId="17" fillId="0" borderId="1" xfId="1" applyNumberFormat="1" applyFont="1" applyBorder="1" applyAlignment="1">
      <alignment horizontal="center" vertical="center"/>
    </xf>
    <xf numFmtId="1" fontId="17" fillId="0" borderId="1" xfId="1" applyNumberFormat="1" applyFont="1" applyFill="1" applyBorder="1" applyAlignment="1">
      <alignment horizontal="center" vertical="center"/>
    </xf>
    <xf numFmtId="1" fontId="17" fillId="0" borderId="0" xfId="1" applyNumberFormat="1" applyFont="1" applyAlignment="1">
      <alignment horizontal="center"/>
    </xf>
    <xf numFmtId="1" fontId="17" fillId="0" borderId="13" xfId="1" applyNumberFormat="1" applyFont="1" applyBorder="1" applyAlignment="1">
      <alignment horizontal="center" vertical="center"/>
    </xf>
    <xf numFmtId="1" fontId="17" fillId="0" borderId="24" xfId="1" applyNumberFormat="1" applyFont="1" applyFill="1" applyBorder="1" applyAlignment="1">
      <alignment horizontal="center" vertical="center"/>
    </xf>
    <xf numFmtId="1" fontId="17" fillId="0" borderId="5" xfId="1" applyNumberFormat="1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14" fontId="3" fillId="0" borderId="0" xfId="1" applyNumberFormat="1" applyFont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8" fillId="2" borderId="1" xfId="1" applyNumberFormat="1" applyFont="1" applyFill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4" fontId="17" fillId="0" borderId="24" xfId="1" applyNumberFormat="1" applyFont="1" applyBorder="1" applyAlignment="1">
      <alignment horizontal="center" vertical="center"/>
    </xf>
    <xf numFmtId="4" fontId="17" fillId="0" borderId="28" xfId="1" applyNumberFormat="1" applyFont="1" applyBorder="1" applyAlignment="1">
      <alignment horizontal="center" vertical="center"/>
    </xf>
    <xf numFmtId="4" fontId="17" fillId="0" borderId="38" xfId="1" applyNumberFormat="1" applyFont="1" applyBorder="1" applyAlignment="1">
      <alignment horizontal="center" vertical="center"/>
    </xf>
    <xf numFmtId="4" fontId="17" fillId="0" borderId="29" xfId="1" applyNumberFormat="1" applyFont="1" applyBorder="1" applyAlignment="1">
      <alignment horizontal="center" vertical="center"/>
    </xf>
    <xf numFmtId="4" fontId="17" fillId="0" borderId="1" xfId="1" applyNumberFormat="1" applyFont="1" applyBorder="1" applyAlignment="1">
      <alignment horizontal="center" vertical="center"/>
    </xf>
    <xf numFmtId="4" fontId="17" fillId="0" borderId="23" xfId="1" applyNumberFormat="1" applyFont="1" applyBorder="1" applyAlignment="1">
      <alignment horizontal="center" vertical="center"/>
    </xf>
    <xf numFmtId="4" fontId="17" fillId="0" borderId="3" xfId="1" applyNumberFormat="1" applyFont="1" applyBorder="1" applyAlignment="1">
      <alignment horizontal="center" vertical="center"/>
    </xf>
    <xf numFmtId="4" fontId="17" fillId="0" borderId="41" xfId="1" applyNumberFormat="1" applyFont="1" applyBorder="1" applyAlignment="1">
      <alignment horizontal="center" vertical="center"/>
    </xf>
    <xf numFmtId="4" fontId="17" fillId="0" borderId="8" xfId="1" applyNumberFormat="1" applyFont="1" applyBorder="1" applyAlignment="1">
      <alignment horizontal="center" vertical="center"/>
    </xf>
    <xf numFmtId="4" fontId="17" fillId="0" borderId="7" xfId="1" applyNumberFormat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4" fontId="16" fillId="2" borderId="10" xfId="1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17" fillId="0" borderId="13" xfId="1" applyNumberFormat="1" applyFont="1" applyBorder="1" applyAlignment="1">
      <alignment horizontal="center" vertical="center"/>
    </xf>
    <xf numFmtId="4" fontId="17" fillId="0" borderId="15" xfId="1" applyNumberFormat="1" applyFont="1" applyBorder="1" applyAlignment="1">
      <alignment horizontal="center" vertical="center"/>
    </xf>
    <xf numFmtId="4" fontId="17" fillId="0" borderId="19" xfId="1" applyNumberFormat="1" applyFont="1" applyBorder="1" applyAlignment="1">
      <alignment horizontal="center" vertical="center"/>
    </xf>
    <xf numFmtId="4" fontId="17" fillId="0" borderId="36" xfId="1" applyNumberFormat="1" applyFont="1" applyBorder="1" applyAlignment="1">
      <alignment horizontal="center" vertical="center"/>
    </xf>
    <xf numFmtId="4" fontId="16" fillId="2" borderId="20" xfId="1" applyNumberFormat="1" applyFont="1" applyFill="1" applyBorder="1" applyAlignment="1">
      <alignment horizontal="center" vertical="center"/>
    </xf>
    <xf numFmtId="4" fontId="16" fillId="4" borderId="0" xfId="1" applyNumberFormat="1" applyFont="1" applyFill="1" applyBorder="1" applyAlignment="1">
      <alignment horizontal="center" vertical="center"/>
    </xf>
    <xf numFmtId="4" fontId="17" fillId="0" borderId="5" xfId="1" applyNumberFormat="1" applyFont="1" applyBorder="1" applyAlignment="1">
      <alignment horizontal="center" vertical="center"/>
    </xf>
    <xf numFmtId="4" fontId="17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/>
    </xf>
    <xf numFmtId="1" fontId="2" fillId="0" borderId="0" xfId="1" applyNumberFormat="1" applyAlignment="1">
      <alignment horizontal="center"/>
    </xf>
    <xf numFmtId="4" fontId="16" fillId="0" borderId="0" xfId="1" applyNumberFormat="1" applyFont="1" applyFill="1" applyBorder="1" applyAlignment="1">
      <alignment horizontal="center" vertical="center"/>
    </xf>
    <xf numFmtId="4" fontId="7" fillId="0" borderId="38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4" fontId="0" fillId="0" borderId="1" xfId="0" applyNumberFormat="1" applyBorder="1"/>
    <xf numFmtId="0" fontId="0" fillId="0" borderId="53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7" fillId="0" borderId="63" xfId="1" applyFont="1" applyBorder="1" applyAlignment="1">
      <alignment horizontal="center" vertical="center"/>
    </xf>
    <xf numFmtId="4" fontId="17" fillId="0" borderId="64" xfId="1" applyNumberFormat="1" applyFont="1" applyBorder="1" applyAlignment="1">
      <alignment horizontal="center" vertical="center"/>
    </xf>
    <xf numFmtId="1" fontId="17" fillId="0" borderId="65" xfId="1" applyNumberFormat="1" applyFont="1" applyBorder="1" applyAlignment="1">
      <alignment horizontal="center" vertical="center"/>
    </xf>
    <xf numFmtId="1" fontId="17" fillId="0" borderId="33" xfId="1" applyNumberFormat="1" applyFont="1" applyBorder="1" applyAlignment="1">
      <alignment horizontal="center" vertical="center"/>
    </xf>
    <xf numFmtId="0" fontId="10" fillId="0" borderId="66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1" fillId="5" borderId="67" xfId="0" applyFont="1" applyFill="1" applyBorder="1" applyAlignment="1">
      <alignment horizontal="center" vertical="center" wrapText="1"/>
    </xf>
    <xf numFmtId="0" fontId="11" fillId="5" borderId="68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5" borderId="35" xfId="0" applyFont="1" applyFill="1" applyBorder="1" applyAlignment="1">
      <alignment horizontal="center" vertical="center" wrapText="1"/>
    </xf>
    <xf numFmtId="0" fontId="11" fillId="5" borderId="69" xfId="0" applyFont="1" applyFill="1" applyBorder="1" applyAlignment="1">
      <alignment horizontal="center" vertical="center" wrapText="1"/>
    </xf>
    <xf numFmtId="0" fontId="11" fillId="5" borderId="70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7" fillId="0" borderId="4" xfId="1" applyFont="1" applyBorder="1" applyAlignment="1">
      <alignment vertical="center"/>
    </xf>
    <xf numFmtId="0" fontId="17" fillId="0" borderId="5" xfId="1" applyFont="1" applyBorder="1" applyAlignment="1">
      <alignment horizontal="center" vertical="center"/>
    </xf>
    <xf numFmtId="1" fontId="17" fillId="0" borderId="5" xfId="1" applyNumberFormat="1" applyFont="1" applyBorder="1" applyAlignment="1">
      <alignment horizontal="center" vertical="center"/>
    </xf>
    <xf numFmtId="4" fontId="17" fillId="0" borderId="2" xfId="1" applyNumberFormat="1" applyFont="1" applyBorder="1" applyAlignment="1">
      <alignment horizontal="center" vertical="center"/>
    </xf>
    <xf numFmtId="0" fontId="16" fillId="0" borderId="71" xfId="1" applyFont="1" applyBorder="1" applyAlignment="1">
      <alignment vertical="center"/>
    </xf>
    <xf numFmtId="0" fontId="15" fillId="5" borderId="47" xfId="0" applyFont="1" applyFill="1" applyBorder="1" applyAlignment="1">
      <alignment horizontal="center" vertical="center" wrapText="1"/>
    </xf>
    <xf numFmtId="0" fontId="17" fillId="0" borderId="35" xfId="1" applyFont="1" applyBorder="1" applyAlignment="1">
      <alignment vertical="center"/>
    </xf>
    <xf numFmtId="0" fontId="17" fillId="0" borderId="65" xfId="1" applyFont="1" applyBorder="1" applyAlignment="1">
      <alignment horizontal="center" vertical="center"/>
    </xf>
    <xf numFmtId="4" fontId="17" fillId="0" borderId="65" xfId="1" applyNumberFormat="1" applyFont="1" applyBorder="1" applyAlignment="1">
      <alignment horizontal="center" vertical="center"/>
    </xf>
    <xf numFmtId="4" fontId="17" fillId="0" borderId="72" xfId="1" applyNumberFormat="1" applyFont="1" applyBorder="1" applyAlignment="1">
      <alignment horizontal="center" vertical="center"/>
    </xf>
    <xf numFmtId="4" fontId="17" fillId="0" borderId="73" xfId="1" applyNumberFormat="1" applyFont="1" applyBorder="1" applyAlignment="1">
      <alignment horizontal="center" vertical="center"/>
    </xf>
    <xf numFmtId="4" fontId="17" fillId="0" borderId="32" xfId="1" applyNumberFormat="1" applyFont="1" applyBorder="1" applyAlignment="1">
      <alignment horizontal="center" vertical="center"/>
    </xf>
    <xf numFmtId="0" fontId="17" fillId="0" borderId="14" xfId="1" applyFont="1" applyBorder="1" applyAlignment="1">
      <alignment vertical="center" wrapText="1"/>
    </xf>
    <xf numFmtId="4" fontId="2" fillId="0" borderId="0" xfId="1" applyNumberFormat="1"/>
    <xf numFmtId="0" fontId="0" fillId="0" borderId="0" xfId="0" applyBorder="1" applyAlignment="1">
      <alignment vertical="center"/>
    </xf>
    <xf numFmtId="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11" fillId="5" borderId="2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4" fontId="11" fillId="0" borderId="0" xfId="0" applyNumberFormat="1" applyFont="1" applyFill="1" applyBorder="1" applyAlignment="1">
      <alignment vertical="center"/>
    </xf>
    <xf numFmtId="4" fontId="11" fillId="0" borderId="28" xfId="0" applyNumberFormat="1" applyFont="1" applyBorder="1" applyAlignment="1">
      <alignment horizontal="right" vertical="center"/>
    </xf>
    <xf numFmtId="4" fontId="11" fillId="0" borderId="23" xfId="0" applyNumberFormat="1" applyFont="1" applyBorder="1" applyAlignment="1">
      <alignment horizontal="right" vertical="center"/>
    </xf>
    <xf numFmtId="4" fontId="11" fillId="2" borderId="15" xfId="0" applyNumberFormat="1" applyFont="1" applyFill="1" applyBorder="1" applyAlignment="1">
      <alignment horizontal="right" vertical="center"/>
    </xf>
    <xf numFmtId="0" fontId="11" fillId="5" borderId="66" xfId="0" applyFont="1" applyFill="1" applyBorder="1" applyAlignment="1">
      <alignment horizontal="center" vertical="center" wrapText="1"/>
    </xf>
    <xf numFmtId="0" fontId="11" fillId="5" borderId="7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4" fontId="10" fillId="0" borderId="28" xfId="0" applyNumberFormat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4" fontId="10" fillId="0" borderId="2" xfId="0" applyNumberFormat="1" applyFont="1" applyFill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4" fontId="11" fillId="0" borderId="68" xfId="0" applyNumberFormat="1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4" fontId="11" fillId="0" borderId="15" xfId="0" applyNumberFormat="1" applyFont="1" applyBorder="1" applyAlignment="1">
      <alignment horizontal="righ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 wrapText="1"/>
    </xf>
    <xf numFmtId="4" fontId="10" fillId="0" borderId="39" xfId="0" applyNumberFormat="1" applyFont="1" applyBorder="1" applyAlignment="1">
      <alignment vertical="center"/>
    </xf>
    <xf numFmtId="4" fontId="10" fillId="0" borderId="23" xfId="0" applyNumberFormat="1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4" fontId="10" fillId="0" borderId="68" xfId="0" applyNumberFormat="1" applyFont="1" applyBorder="1" applyAlignment="1">
      <alignment horizontal="center" vertical="center"/>
    </xf>
    <xf numFmtId="0" fontId="10" fillId="0" borderId="67" xfId="0" applyFont="1" applyFill="1" applyBorder="1" applyAlignment="1">
      <alignment horizontal="center" vertical="center"/>
    </xf>
    <xf numFmtId="4" fontId="10" fillId="2" borderId="54" xfId="0" applyNumberFormat="1" applyFont="1" applyFill="1" applyBorder="1" applyAlignment="1">
      <alignment vertical="center"/>
    </xf>
    <xf numFmtId="0" fontId="11" fillId="5" borderId="22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8"/>
  <sheetViews>
    <sheetView zoomScale="85" zoomScaleNormal="85" workbookViewId="0">
      <selection activeCell="C17" sqref="C17"/>
    </sheetView>
  </sheetViews>
  <sheetFormatPr baseColWidth="10" defaultRowHeight="14.4" x14ac:dyDescent="0.3"/>
  <cols>
    <col min="2" max="2" width="35" customWidth="1"/>
    <col min="3" max="3" width="19.33203125" customWidth="1"/>
    <col min="5" max="5" width="15.33203125" customWidth="1"/>
    <col min="7" max="7" width="15.33203125" customWidth="1"/>
    <col min="13" max="13" width="11.88671875" bestFit="1" customWidth="1"/>
  </cols>
  <sheetData>
    <row r="1" spans="1:14" x14ac:dyDescent="0.3">
      <c r="A1" s="9"/>
    </row>
    <row r="2" spans="1:14" ht="15" thickBot="1" x14ac:dyDescent="0.35"/>
    <row r="3" spans="1:14" ht="16.2" thickBot="1" x14ac:dyDescent="0.35">
      <c r="A3" s="190" t="s">
        <v>200</v>
      </c>
      <c r="B3" s="191"/>
      <c r="C3" s="191"/>
    </row>
    <row r="4" spans="1:14" ht="15" thickBot="1" x14ac:dyDescent="0.35">
      <c r="A4" s="178" t="s">
        <v>13</v>
      </c>
      <c r="B4" s="179"/>
      <c r="C4" s="47" t="s">
        <v>20</v>
      </c>
    </row>
    <row r="5" spans="1:14" x14ac:dyDescent="0.3">
      <c r="A5" s="180" t="s">
        <v>196</v>
      </c>
      <c r="B5" s="181"/>
      <c r="C5" s="36">
        <f>'Honorarios '!E6</f>
        <v>252000</v>
      </c>
      <c r="E5">
        <v>124700</v>
      </c>
    </row>
    <row r="6" spans="1:14" ht="15" thickBot="1" x14ac:dyDescent="0.35">
      <c r="A6" s="176" t="s">
        <v>148</v>
      </c>
      <c r="B6" s="177"/>
      <c r="C6" s="37">
        <f>C5</f>
        <v>252000</v>
      </c>
    </row>
    <row r="7" spans="1:14" ht="15" thickBot="1" x14ac:dyDescent="0.35"/>
    <row r="8" spans="1:14" ht="15" thickBot="1" x14ac:dyDescent="0.35">
      <c r="A8" s="178" t="s">
        <v>163</v>
      </c>
      <c r="B8" s="179"/>
      <c r="C8" s="7" t="s">
        <v>20</v>
      </c>
    </row>
    <row r="9" spans="1:14" x14ac:dyDescent="0.3">
      <c r="A9" s="180" t="s">
        <v>169</v>
      </c>
      <c r="B9" s="181"/>
      <c r="C9" s="33">
        <f>' EPPS '!D4</f>
        <v>13340</v>
      </c>
      <c r="E9">
        <v>18990</v>
      </c>
      <c r="M9" s="48"/>
    </row>
    <row r="10" spans="1:14" ht="15" thickBot="1" x14ac:dyDescent="0.35">
      <c r="A10" s="176" t="s">
        <v>149</v>
      </c>
      <c r="B10" s="177"/>
      <c r="C10" s="34">
        <f>SUM(C9:C9)</f>
        <v>13340</v>
      </c>
      <c r="M10" s="48"/>
    </row>
    <row r="11" spans="1:14" ht="15" thickBot="1" x14ac:dyDescent="0.35">
      <c r="M11" s="48"/>
    </row>
    <row r="12" spans="1:14" ht="15" thickBot="1" x14ac:dyDescent="0.35">
      <c r="A12" s="178" t="s">
        <v>209</v>
      </c>
      <c r="B12" s="179"/>
      <c r="C12" s="7" t="s">
        <v>20</v>
      </c>
      <c r="M12" s="48"/>
    </row>
    <row r="13" spans="1:14" x14ac:dyDescent="0.3">
      <c r="A13" s="180" t="s">
        <v>210</v>
      </c>
      <c r="B13" s="181"/>
      <c r="C13" s="33">
        <f>'Examenes medicos '!D3+'Polizas, seguros y carta fianza'!D3</f>
        <v>9600</v>
      </c>
      <c r="E13">
        <v>13200</v>
      </c>
      <c r="M13" s="48">
        <v>525186.19999999995</v>
      </c>
      <c r="N13" s="48"/>
    </row>
    <row r="14" spans="1:14" ht="15" thickBot="1" x14ac:dyDescent="0.35">
      <c r="A14" s="176" t="s">
        <v>150</v>
      </c>
      <c r="B14" s="177"/>
      <c r="C14" s="34">
        <f>SUM(C13:C13)</f>
        <v>9600</v>
      </c>
      <c r="M14" s="48">
        <v>42014.896000000001</v>
      </c>
      <c r="N14" s="48"/>
    </row>
    <row r="15" spans="1:14" ht="15" thickBot="1" x14ac:dyDescent="0.35">
      <c r="E15" s="97"/>
      <c r="M15" s="48">
        <v>42014.896000000001</v>
      </c>
      <c r="N15" s="48"/>
    </row>
    <row r="16" spans="1:14" ht="15" thickBot="1" x14ac:dyDescent="0.35">
      <c r="A16" s="178" t="s">
        <v>191</v>
      </c>
      <c r="B16" s="179"/>
      <c r="C16" s="7" t="s">
        <v>20</v>
      </c>
      <c r="E16" s="98"/>
      <c r="M16" s="48">
        <v>26259.309999999998</v>
      </c>
      <c r="N16" s="48"/>
    </row>
    <row r="17" spans="1:14" x14ac:dyDescent="0.3">
      <c r="A17" s="180" t="s">
        <v>192</v>
      </c>
      <c r="B17" s="181"/>
      <c r="C17" s="33">
        <f>'Transporte de personal'!E3</f>
        <v>156000</v>
      </c>
      <c r="E17" s="97">
        <v>126000</v>
      </c>
      <c r="M17" s="48">
        <v>635475.30199999991</v>
      </c>
      <c r="N17" s="48"/>
    </row>
    <row r="18" spans="1:14" ht="15" thickBot="1" x14ac:dyDescent="0.35">
      <c r="A18" s="176" t="s">
        <v>171</v>
      </c>
      <c r="B18" s="177"/>
      <c r="C18" s="34">
        <f>SUM(C17:C17)</f>
        <v>156000</v>
      </c>
      <c r="E18" s="97"/>
      <c r="M18" s="48"/>
    </row>
    <row r="19" spans="1:14" ht="15" thickBot="1" x14ac:dyDescent="0.35">
      <c r="M19" s="48">
        <v>114385.55435999998</v>
      </c>
    </row>
    <row r="20" spans="1:14" ht="15" thickBot="1" x14ac:dyDescent="0.35">
      <c r="A20" s="178" t="s">
        <v>193</v>
      </c>
      <c r="B20" s="179"/>
      <c r="C20" s="7" t="s">
        <v>20</v>
      </c>
      <c r="M20" s="48">
        <f>M17+M19</f>
        <v>749860.85635999986</v>
      </c>
    </row>
    <row r="21" spans="1:14" x14ac:dyDescent="0.3">
      <c r="A21" s="180" t="s">
        <v>193</v>
      </c>
      <c r="B21" s="181"/>
      <c r="C21" s="33">
        <f>'Equipos y materiales'!D8</f>
        <v>28494.878000000001</v>
      </c>
      <c r="E21">
        <v>47521.2</v>
      </c>
      <c r="M21" s="48"/>
    </row>
    <row r="22" spans="1:14" ht="15" thickBot="1" x14ac:dyDescent="0.35">
      <c r="A22" s="176" t="s">
        <v>172</v>
      </c>
      <c r="B22" s="177"/>
      <c r="C22" s="34">
        <f>SUM(C21:C21)</f>
        <v>28494.878000000001</v>
      </c>
      <c r="M22" s="48"/>
    </row>
    <row r="23" spans="1:14" ht="15" thickBot="1" x14ac:dyDescent="0.35">
      <c r="M23" s="48"/>
    </row>
    <row r="24" spans="1:14" ht="15" thickBot="1" x14ac:dyDescent="0.35">
      <c r="A24" s="178" t="s">
        <v>15</v>
      </c>
      <c r="B24" s="179"/>
      <c r="C24" s="7" t="s">
        <v>20</v>
      </c>
      <c r="M24" s="48"/>
    </row>
    <row r="25" spans="1:14" x14ac:dyDescent="0.3">
      <c r="A25" s="180" t="s">
        <v>170</v>
      </c>
      <c r="B25" s="181"/>
      <c r="C25" s="33">
        <f>'Viaticos-Alojam. '!C5</f>
        <v>86400</v>
      </c>
      <c r="E25">
        <v>58500</v>
      </c>
      <c r="M25" s="48"/>
    </row>
    <row r="26" spans="1:14" ht="15" thickBot="1" x14ac:dyDescent="0.35">
      <c r="A26" s="176" t="s">
        <v>197</v>
      </c>
      <c r="B26" s="177"/>
      <c r="C26" s="34">
        <f>SUM(C25:C25)</f>
        <v>86400</v>
      </c>
      <c r="M26" s="48"/>
    </row>
    <row r="27" spans="1:14" ht="15" thickBot="1" x14ac:dyDescent="0.35">
      <c r="M27" s="48"/>
    </row>
    <row r="28" spans="1:14" ht="15" thickBot="1" x14ac:dyDescent="0.35">
      <c r="A28" s="178" t="s">
        <v>194</v>
      </c>
      <c r="B28" s="179"/>
      <c r="C28" s="56" t="s">
        <v>20</v>
      </c>
    </row>
    <row r="29" spans="1:14" x14ac:dyDescent="0.3">
      <c r="A29" s="182" t="s">
        <v>195</v>
      </c>
      <c r="B29" s="183"/>
      <c r="C29" s="35">
        <f>'Otros gastos'!D3</f>
        <v>11003.800000000001</v>
      </c>
      <c r="E29">
        <v>10000</v>
      </c>
    </row>
    <row r="30" spans="1:14" ht="15" thickBot="1" x14ac:dyDescent="0.35">
      <c r="A30" s="176" t="s">
        <v>198</v>
      </c>
      <c r="B30" s="177"/>
      <c r="C30" s="37">
        <f>SUM(C29:C29)</f>
        <v>11003.800000000001</v>
      </c>
      <c r="E30">
        <f>SUM(E9:E29)</f>
        <v>274211.20000000001</v>
      </c>
    </row>
    <row r="32" spans="1:14" x14ac:dyDescent="0.3">
      <c r="E32" s="43"/>
      <c r="G32" s="58"/>
      <c r="H32" s="58"/>
      <c r="I32" s="57"/>
    </row>
    <row r="33" spans="1:9" ht="22.5" customHeight="1" x14ac:dyDescent="0.3">
      <c r="B33" s="90" t="s">
        <v>153</v>
      </c>
      <c r="C33" s="91">
        <f>SUM(C6+C10+C14+C18+C22+C26+C29)</f>
        <v>556838.67800000007</v>
      </c>
      <c r="E33" s="42">
        <f>0.3*C36</f>
        <v>197120.89201200003</v>
      </c>
      <c r="G33" s="58"/>
      <c r="H33" s="58"/>
      <c r="I33" s="57"/>
    </row>
    <row r="34" spans="1:9" x14ac:dyDescent="0.3">
      <c r="B34" s="90" t="s">
        <v>214</v>
      </c>
      <c r="C34" s="91">
        <f>C33*10%</f>
        <v>55683.867800000007</v>
      </c>
      <c r="E34" s="48">
        <f>0.2*C36</f>
        <v>131413.92800800002</v>
      </c>
      <c r="G34" s="58"/>
      <c r="H34" s="58"/>
      <c r="I34" s="57"/>
    </row>
    <row r="35" spans="1:9" x14ac:dyDescent="0.3">
      <c r="B35" s="90" t="s">
        <v>203</v>
      </c>
      <c r="C35" s="91">
        <f>C33*0.08</f>
        <v>44547.094240000006</v>
      </c>
      <c r="E35" s="48">
        <f>0.1*C36</f>
        <v>65706.964004000009</v>
      </c>
      <c r="G35" s="58"/>
      <c r="H35" s="58"/>
      <c r="I35" s="57"/>
    </row>
    <row r="36" spans="1:9" ht="15.6" x14ac:dyDescent="0.3">
      <c r="B36" s="95" t="s">
        <v>162</v>
      </c>
      <c r="C36" s="96">
        <f>SUM(C33:C35)</f>
        <v>657069.64004000009</v>
      </c>
      <c r="E36" s="48"/>
      <c r="G36" s="57"/>
      <c r="H36" s="57"/>
      <c r="I36" s="57"/>
    </row>
    <row r="37" spans="1:9" x14ac:dyDescent="0.3">
      <c r="B37" s="92"/>
      <c r="C37" s="92"/>
      <c r="G37" s="57"/>
      <c r="H37" s="57"/>
      <c r="I37" s="248"/>
    </row>
    <row r="38" spans="1:9" x14ac:dyDescent="0.3">
      <c r="B38" s="93" t="s">
        <v>151</v>
      </c>
      <c r="C38" s="94">
        <f>C36*0.18</f>
        <v>118272.53520720001</v>
      </c>
      <c r="E38" s="48"/>
      <c r="I38" s="48">
        <f>C36*0.3</f>
        <v>197120.89201200003</v>
      </c>
    </row>
    <row r="39" spans="1:9" x14ac:dyDescent="0.3">
      <c r="B39" s="92"/>
      <c r="C39" s="295">
        <f>SUM(C36:C38)</f>
        <v>775342.17524720007</v>
      </c>
      <c r="I39" s="48">
        <f>C36*0.2</f>
        <v>131413.92800800002</v>
      </c>
    </row>
    <row r="40" spans="1:9" ht="15" thickBot="1" x14ac:dyDescent="0.35">
      <c r="I40" s="48">
        <f>C36*0.1</f>
        <v>65706.964004000009</v>
      </c>
    </row>
    <row r="41" spans="1:9" ht="15" customHeight="1" x14ac:dyDescent="0.3">
      <c r="A41" s="184" t="s">
        <v>201</v>
      </c>
      <c r="B41" s="185"/>
      <c r="C41" s="296"/>
      <c r="I41" s="48">
        <f>C36*0.2</f>
        <v>131413.92800800002</v>
      </c>
    </row>
    <row r="42" spans="1:9" x14ac:dyDescent="0.3">
      <c r="A42" s="186"/>
      <c r="B42" s="187"/>
      <c r="C42" s="297"/>
      <c r="I42" s="48">
        <v>127095.06039999999</v>
      </c>
    </row>
    <row r="43" spans="1:9" ht="26.25" customHeight="1" thickBot="1" x14ac:dyDescent="0.35">
      <c r="A43" s="188"/>
      <c r="B43" s="189"/>
      <c r="C43" s="298"/>
      <c r="I43" s="48">
        <f>SUM(I38:I42)</f>
        <v>652750.77243200003</v>
      </c>
    </row>
    <row r="44" spans="1:9" x14ac:dyDescent="0.3">
      <c r="A44" s="45"/>
      <c r="B44" s="45"/>
    </row>
    <row r="48" spans="1:9" x14ac:dyDescent="0.3">
      <c r="A48" s="55"/>
    </row>
  </sheetData>
  <mergeCells count="23">
    <mergeCell ref="A41:C43"/>
    <mergeCell ref="A26:B26"/>
    <mergeCell ref="A3:C3"/>
    <mergeCell ref="A24:B24"/>
    <mergeCell ref="A25:B25"/>
    <mergeCell ref="A4:B4"/>
    <mergeCell ref="A5:B5"/>
    <mergeCell ref="A6:B6"/>
    <mergeCell ref="A8:B8"/>
    <mergeCell ref="A9:B9"/>
    <mergeCell ref="A10:B10"/>
    <mergeCell ref="A12:B12"/>
    <mergeCell ref="A13:B13"/>
    <mergeCell ref="A14:B14"/>
    <mergeCell ref="A16:B16"/>
    <mergeCell ref="A17:B17"/>
    <mergeCell ref="A18:B18"/>
    <mergeCell ref="A20:B20"/>
    <mergeCell ref="A21:B21"/>
    <mergeCell ref="A22:B22"/>
    <mergeCell ref="A30:B30"/>
    <mergeCell ref="A28:B28"/>
    <mergeCell ref="A29:B29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15"/>
  <sheetViews>
    <sheetView tabSelected="1" zoomScale="90" zoomScaleNormal="90" workbookViewId="0">
      <selection activeCell="E26" sqref="E26"/>
    </sheetView>
  </sheetViews>
  <sheetFormatPr baseColWidth="10" defaultColWidth="11.44140625" defaultRowHeight="14.4" x14ac:dyDescent="0.3"/>
  <cols>
    <col min="1" max="1" width="4.6640625" style="28" customWidth="1"/>
    <col min="2" max="2" width="35.33203125" style="28" customWidth="1"/>
    <col min="3" max="3" width="8.88671875" style="28" bestFit="1" customWidth="1"/>
    <col min="4" max="4" width="9.109375" style="28" customWidth="1"/>
    <col min="5" max="5" width="15" style="173" customWidth="1"/>
    <col min="6" max="6" width="11.33203125" style="28" customWidth="1"/>
    <col min="7" max="7" width="13.33203125" style="28" customWidth="1"/>
    <col min="8" max="8" width="15.5546875" style="28" bestFit="1" customWidth="1"/>
    <col min="9" max="9" width="16.6640625" style="28" customWidth="1"/>
    <col min="10" max="10" width="5.33203125" style="28" customWidth="1"/>
    <col min="11" max="11" width="11.44140625" style="28"/>
    <col min="12" max="12" width="15" style="28" customWidth="1"/>
    <col min="13" max="14" width="20.109375" style="28" customWidth="1"/>
    <col min="15" max="16384" width="11.44140625" style="28"/>
  </cols>
  <sheetData>
    <row r="1" spans="2:9" ht="15" thickBot="1" x14ac:dyDescent="0.35"/>
    <row r="2" spans="2:9" ht="15" thickBot="1" x14ac:dyDescent="0.35">
      <c r="B2" s="178" t="s">
        <v>168</v>
      </c>
      <c r="C2" s="196"/>
      <c r="D2" s="196"/>
      <c r="E2" s="196"/>
      <c r="F2" s="196"/>
      <c r="G2" s="196"/>
      <c r="H2" s="196"/>
      <c r="I2" s="171"/>
    </row>
    <row r="3" spans="2:9" ht="15" thickBot="1" x14ac:dyDescent="0.35">
      <c r="B3" s="107"/>
      <c r="C3" s="107"/>
      <c r="D3" s="107"/>
      <c r="E3" s="174"/>
      <c r="F3" s="107"/>
      <c r="G3" s="107"/>
      <c r="H3" s="107"/>
    </row>
    <row r="4" spans="2:9" ht="15" thickBot="1" x14ac:dyDescent="0.35">
      <c r="B4" s="108"/>
      <c r="C4" s="192" t="s">
        <v>13</v>
      </c>
      <c r="D4" s="193"/>
      <c r="E4" s="172" t="s">
        <v>20</v>
      </c>
      <c r="F4" s="110" t="s">
        <v>21</v>
      </c>
      <c r="G4" s="108"/>
      <c r="H4" s="108"/>
    </row>
    <row r="5" spans="2:9" x14ac:dyDescent="0.3">
      <c r="B5" s="108"/>
      <c r="C5" s="182" t="s">
        <v>25</v>
      </c>
      <c r="D5" s="183"/>
      <c r="E5" s="111">
        <f>+G13</f>
        <v>252000</v>
      </c>
      <c r="F5" s="112">
        <f>+H13</f>
        <v>72000</v>
      </c>
      <c r="G5" s="108"/>
      <c r="H5" s="108"/>
    </row>
    <row r="6" spans="2:9" ht="15" thickBot="1" x14ac:dyDescent="0.35">
      <c r="B6" s="113"/>
      <c r="C6" s="194" t="s">
        <v>4</v>
      </c>
      <c r="D6" s="195"/>
      <c r="E6" s="114">
        <f>SUM(E5:E5)</f>
        <v>252000</v>
      </c>
      <c r="F6" s="114">
        <f>SUM(F5:F5)</f>
        <v>72000</v>
      </c>
      <c r="G6" s="113"/>
      <c r="H6" s="113"/>
    </row>
    <row r="7" spans="2:9" x14ac:dyDescent="0.3">
      <c r="B7" s="108"/>
      <c r="C7" s="115"/>
      <c r="D7" s="115"/>
      <c r="E7" s="115"/>
      <c r="F7" s="108"/>
      <c r="G7" s="108"/>
      <c r="H7" s="108"/>
    </row>
    <row r="8" spans="2:9" ht="15" thickBot="1" x14ac:dyDescent="0.35">
      <c r="B8" s="108"/>
      <c r="C8" s="115"/>
      <c r="D8" s="115"/>
      <c r="E8" s="115"/>
      <c r="F8" s="108"/>
      <c r="G8" s="108"/>
      <c r="H8" s="108"/>
    </row>
    <row r="9" spans="2:9" ht="28.2" thickBot="1" x14ac:dyDescent="0.35">
      <c r="B9" s="116" t="s">
        <v>0</v>
      </c>
      <c r="C9" s="117" t="s">
        <v>6</v>
      </c>
      <c r="D9" s="118"/>
      <c r="E9" s="119" t="s">
        <v>1</v>
      </c>
      <c r="F9" s="119" t="s">
        <v>12</v>
      </c>
      <c r="G9" s="120" t="s">
        <v>27</v>
      </c>
      <c r="H9" s="120" t="s">
        <v>28</v>
      </c>
    </row>
    <row r="10" spans="2:9" x14ac:dyDescent="0.3">
      <c r="B10" s="150" t="s">
        <v>164</v>
      </c>
      <c r="C10" s="144">
        <v>1</v>
      </c>
      <c r="D10" s="122"/>
      <c r="E10" s="167">
        <v>12</v>
      </c>
      <c r="F10" s="168">
        <v>10500</v>
      </c>
      <c r="G10" s="169">
        <f t="shared" ref="G10:G11" si="0">+C10*E10*F10</f>
        <v>126000</v>
      </c>
      <c r="H10" s="169">
        <f>+G10/3.5</f>
        <v>36000</v>
      </c>
    </row>
    <row r="11" spans="2:9" x14ac:dyDescent="0.3">
      <c r="B11" s="150" t="s">
        <v>177</v>
      </c>
      <c r="C11" s="144">
        <v>1</v>
      </c>
      <c r="D11" s="130"/>
      <c r="E11" s="167">
        <v>12</v>
      </c>
      <c r="F11" s="168">
        <v>10500</v>
      </c>
      <c r="G11" s="169">
        <f t="shared" si="0"/>
        <v>126000</v>
      </c>
      <c r="H11" s="169">
        <f>+G11/3.5</f>
        <v>36000</v>
      </c>
    </row>
    <row r="12" spans="2:9" ht="15" thickBot="1" x14ac:dyDescent="0.35">
      <c r="B12" s="132"/>
      <c r="C12" s="133">
        <f>SUM(C10:C11)</f>
        <v>2</v>
      </c>
      <c r="D12" s="130"/>
      <c r="E12" s="134"/>
      <c r="F12" s="135"/>
      <c r="G12" s="136"/>
      <c r="H12" s="136"/>
    </row>
    <row r="13" spans="2:9" ht="15" thickBot="1" x14ac:dyDescent="0.35">
      <c r="B13" s="139"/>
      <c r="C13" s="140"/>
      <c r="D13" s="140"/>
      <c r="E13" s="140"/>
      <c r="F13" s="141" t="s">
        <v>4</v>
      </c>
      <c r="G13" s="142">
        <f>SUM(G10:G12)</f>
        <v>252000</v>
      </c>
      <c r="H13" s="142">
        <f>SUM(H10:H12)</f>
        <v>72000</v>
      </c>
    </row>
    <row r="14" spans="2:9" x14ac:dyDescent="0.3">
      <c r="B14" s="107"/>
      <c r="C14" s="107"/>
      <c r="D14" s="107"/>
      <c r="E14" s="174"/>
      <c r="F14" s="107"/>
      <c r="G14" s="107"/>
      <c r="H14" s="107"/>
    </row>
    <row r="15" spans="2:9" x14ac:dyDescent="0.3">
      <c r="B15" s="107"/>
      <c r="C15" s="107"/>
      <c r="D15" s="107"/>
      <c r="E15" s="174"/>
      <c r="F15" s="107"/>
      <c r="G15" s="107"/>
      <c r="H15" s="107"/>
    </row>
  </sheetData>
  <mergeCells count="4">
    <mergeCell ref="C4:D4"/>
    <mergeCell ref="C5:D5"/>
    <mergeCell ref="C6:D6"/>
    <mergeCell ref="B2:H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workbookViewId="0">
      <selection activeCell="F30" sqref="F30"/>
    </sheetView>
  </sheetViews>
  <sheetFormatPr baseColWidth="10" defaultColWidth="11.44140625" defaultRowHeight="14.4" x14ac:dyDescent="0.3"/>
  <cols>
    <col min="1" max="1" width="30.6640625" style="41" customWidth="1"/>
    <col min="2" max="2" width="13.6640625" style="310" customWidth="1"/>
    <col min="3" max="4" width="11.44140625" style="41"/>
    <col min="5" max="5" width="14.33203125" style="41" customWidth="1"/>
    <col min="6" max="6" width="12.33203125" style="41" customWidth="1"/>
    <col min="7" max="7" width="12.5546875" style="41" customWidth="1"/>
    <col min="8" max="8" width="12.6640625" style="41" bestFit="1" customWidth="1"/>
    <col min="9" max="16384" width="11.44140625" style="41"/>
  </cols>
  <sheetData>
    <row r="1" spans="1:10" ht="15" thickBot="1" x14ac:dyDescent="0.35">
      <c r="A1" s="107"/>
      <c r="B1" s="197" t="s">
        <v>29</v>
      </c>
      <c r="C1" s="198"/>
      <c r="D1" s="166" t="s">
        <v>122</v>
      </c>
      <c r="E1" s="336"/>
      <c r="F1" s="107"/>
      <c r="G1" s="107"/>
      <c r="H1" s="107"/>
    </row>
    <row r="2" spans="1:10" x14ac:dyDescent="0.3">
      <c r="A2" s="107"/>
      <c r="B2" s="199" t="s">
        <v>123</v>
      </c>
      <c r="C2" s="200"/>
      <c r="D2" s="338">
        <f>E22</f>
        <v>3720</v>
      </c>
      <c r="E2" s="337"/>
      <c r="F2" s="107"/>
      <c r="G2" s="107"/>
      <c r="H2" s="107"/>
    </row>
    <row r="3" spans="1:10" x14ac:dyDescent="0.3">
      <c r="A3" s="107"/>
      <c r="B3" s="201" t="s">
        <v>124</v>
      </c>
      <c r="C3" s="202"/>
      <c r="D3" s="339">
        <f>D30</f>
        <v>9620</v>
      </c>
      <c r="E3" s="337"/>
      <c r="F3" s="107"/>
      <c r="G3" s="107"/>
      <c r="H3" s="107"/>
    </row>
    <row r="4" spans="1:10" ht="15" thickBot="1" x14ac:dyDescent="0.35">
      <c r="A4" s="107"/>
      <c r="B4" s="203" t="s">
        <v>125</v>
      </c>
      <c r="C4" s="204"/>
      <c r="D4" s="340">
        <f>SUM(D2:D3)</f>
        <v>13340</v>
      </c>
      <c r="E4" s="104"/>
      <c r="F4" s="107"/>
      <c r="G4" s="107"/>
      <c r="H4" s="107"/>
    </row>
    <row r="5" spans="1:10" ht="15" thickBot="1" x14ac:dyDescent="0.35">
      <c r="A5" s="107"/>
      <c r="B5" s="174"/>
      <c r="C5" s="107"/>
      <c r="D5" s="107"/>
      <c r="E5" s="106"/>
      <c r="F5" s="103"/>
      <c r="G5" s="103"/>
      <c r="H5" s="103"/>
      <c r="I5" s="330"/>
    </row>
    <row r="6" spans="1:10" ht="15.75" customHeight="1" x14ac:dyDescent="0.3">
      <c r="A6" s="311" t="s">
        <v>126</v>
      </c>
      <c r="B6" s="312" t="s">
        <v>127</v>
      </c>
      <c r="C6" s="313" t="s">
        <v>219</v>
      </c>
      <c r="D6" s="314" t="s">
        <v>128</v>
      </c>
      <c r="E6" s="342" t="s">
        <v>129</v>
      </c>
      <c r="F6" s="208"/>
      <c r="G6" s="208"/>
      <c r="H6" s="332"/>
      <c r="I6" s="332"/>
      <c r="J6" s="333"/>
    </row>
    <row r="7" spans="1:10" ht="22.8" customHeight="1" thickBot="1" x14ac:dyDescent="0.35">
      <c r="A7" s="315"/>
      <c r="B7" s="307"/>
      <c r="C7" s="306"/>
      <c r="D7" s="308"/>
      <c r="E7" s="343"/>
      <c r="F7" s="208"/>
      <c r="G7" s="208"/>
      <c r="H7" s="332"/>
      <c r="I7" s="332"/>
      <c r="J7" s="333"/>
    </row>
    <row r="8" spans="1:10" x14ac:dyDescent="0.3">
      <c r="A8" s="344" t="s">
        <v>131</v>
      </c>
      <c r="B8" s="309">
        <v>35</v>
      </c>
      <c r="C8" s="304">
        <v>2</v>
      </c>
      <c r="D8" s="305">
        <v>2</v>
      </c>
      <c r="E8" s="345">
        <f>B8*C8*D8</f>
        <v>140</v>
      </c>
      <c r="F8" s="334"/>
      <c r="G8" s="334"/>
      <c r="H8" s="334"/>
      <c r="I8" s="332"/>
      <c r="J8" s="333"/>
    </row>
    <row r="9" spans="1:10" x14ac:dyDescent="0.3">
      <c r="A9" s="150" t="s">
        <v>132</v>
      </c>
      <c r="B9" s="168">
        <v>25</v>
      </c>
      <c r="C9" s="99">
        <v>2</v>
      </c>
      <c r="D9" s="100">
        <v>2</v>
      </c>
      <c r="E9" s="135">
        <f t="shared" ref="E9:E21" si="0">B9*C9*D9</f>
        <v>100</v>
      </c>
      <c r="F9" s="334"/>
      <c r="G9" s="334"/>
      <c r="H9" s="334"/>
      <c r="I9" s="332"/>
      <c r="J9" s="333"/>
    </row>
    <row r="10" spans="1:10" x14ac:dyDescent="0.3">
      <c r="A10" s="150" t="s">
        <v>133</v>
      </c>
      <c r="B10" s="168">
        <v>35</v>
      </c>
      <c r="C10" s="99">
        <v>2</v>
      </c>
      <c r="D10" s="100">
        <v>2</v>
      </c>
      <c r="E10" s="135">
        <f t="shared" si="0"/>
        <v>140</v>
      </c>
      <c r="F10" s="334"/>
      <c r="G10" s="334"/>
      <c r="H10" s="334"/>
      <c r="I10" s="332"/>
      <c r="J10" s="333"/>
    </row>
    <row r="11" spans="1:10" x14ac:dyDescent="0.3">
      <c r="A11" s="150" t="s">
        <v>134</v>
      </c>
      <c r="B11" s="168">
        <v>60</v>
      </c>
      <c r="C11" s="99">
        <v>12</v>
      </c>
      <c r="D11" s="100">
        <v>2</v>
      </c>
      <c r="E11" s="135">
        <f>B11*C11*D11</f>
        <v>1440</v>
      </c>
      <c r="F11" s="334"/>
      <c r="G11" s="334"/>
      <c r="H11" s="334"/>
      <c r="I11" s="332"/>
      <c r="J11" s="333"/>
    </row>
    <row r="12" spans="1:10" x14ac:dyDescent="0.3">
      <c r="A12" s="150" t="s">
        <v>135</v>
      </c>
      <c r="B12" s="168">
        <v>30</v>
      </c>
      <c r="C12" s="99">
        <v>2</v>
      </c>
      <c r="D12" s="100">
        <v>2</v>
      </c>
      <c r="E12" s="135">
        <f>B12*C12*D12</f>
        <v>120</v>
      </c>
      <c r="F12" s="334"/>
      <c r="G12" s="334"/>
      <c r="H12" s="334"/>
      <c r="I12" s="332"/>
      <c r="J12" s="333"/>
    </row>
    <row r="13" spans="1:10" x14ac:dyDescent="0.3">
      <c r="A13" s="346" t="s">
        <v>136</v>
      </c>
      <c r="B13" s="168">
        <v>15</v>
      </c>
      <c r="C13" s="99">
        <v>2</v>
      </c>
      <c r="D13" s="100">
        <v>2</v>
      </c>
      <c r="E13" s="135">
        <f t="shared" si="0"/>
        <v>60</v>
      </c>
      <c r="F13" s="334"/>
      <c r="G13" s="334"/>
      <c r="H13" s="334"/>
      <c r="I13" s="332"/>
      <c r="J13" s="333"/>
    </row>
    <row r="14" spans="1:10" x14ac:dyDescent="0.3">
      <c r="A14" s="347" t="s">
        <v>137</v>
      </c>
      <c r="B14" s="168">
        <v>40</v>
      </c>
      <c r="C14" s="99">
        <v>2</v>
      </c>
      <c r="D14" s="100">
        <v>2</v>
      </c>
      <c r="E14" s="135">
        <f t="shared" si="0"/>
        <v>160</v>
      </c>
      <c r="F14" s="334"/>
      <c r="G14" s="334"/>
      <c r="H14" s="334"/>
      <c r="I14" s="332"/>
      <c r="J14" s="333"/>
    </row>
    <row r="15" spans="1:10" x14ac:dyDescent="0.3">
      <c r="A15" s="150" t="s">
        <v>138</v>
      </c>
      <c r="B15" s="168">
        <v>40</v>
      </c>
      <c r="C15" s="99">
        <v>2</v>
      </c>
      <c r="D15" s="100">
        <v>2</v>
      </c>
      <c r="E15" s="135">
        <f t="shared" si="0"/>
        <v>160</v>
      </c>
      <c r="F15" s="334"/>
      <c r="G15" s="334"/>
      <c r="H15" s="334"/>
      <c r="I15" s="332"/>
      <c r="J15" s="333"/>
    </row>
    <row r="16" spans="1:10" x14ac:dyDescent="0.3">
      <c r="A16" s="150" t="s">
        <v>139</v>
      </c>
      <c r="B16" s="168">
        <v>95</v>
      </c>
      <c r="C16" s="99">
        <v>2</v>
      </c>
      <c r="D16" s="100">
        <v>2</v>
      </c>
      <c r="E16" s="135">
        <f t="shared" si="0"/>
        <v>380</v>
      </c>
      <c r="F16" s="334"/>
      <c r="G16" s="334"/>
      <c r="H16" s="334"/>
      <c r="I16" s="332"/>
      <c r="J16" s="333"/>
    </row>
    <row r="17" spans="1:10" x14ac:dyDescent="0.3">
      <c r="A17" s="150" t="s">
        <v>140</v>
      </c>
      <c r="B17" s="168">
        <v>30</v>
      </c>
      <c r="C17" s="99">
        <v>2</v>
      </c>
      <c r="D17" s="100">
        <v>2</v>
      </c>
      <c r="E17" s="135">
        <f t="shared" si="0"/>
        <v>120</v>
      </c>
      <c r="F17" s="334"/>
      <c r="G17" s="334"/>
      <c r="H17" s="334"/>
      <c r="I17" s="332"/>
      <c r="J17" s="333"/>
    </row>
    <row r="18" spans="1:10" x14ac:dyDescent="0.3">
      <c r="A18" s="150" t="s">
        <v>173</v>
      </c>
      <c r="B18" s="168">
        <v>80</v>
      </c>
      <c r="C18" s="99">
        <v>1</v>
      </c>
      <c r="D18" s="100">
        <v>2</v>
      </c>
      <c r="E18" s="135">
        <f t="shared" si="0"/>
        <v>160</v>
      </c>
      <c r="F18" s="334"/>
      <c r="G18" s="334"/>
      <c r="H18" s="334"/>
      <c r="I18" s="332"/>
      <c r="J18" s="333"/>
    </row>
    <row r="19" spans="1:10" x14ac:dyDescent="0.3">
      <c r="A19" s="150" t="s">
        <v>156</v>
      </c>
      <c r="B19" s="168">
        <v>45</v>
      </c>
      <c r="C19" s="99">
        <v>2</v>
      </c>
      <c r="D19" s="100">
        <v>2</v>
      </c>
      <c r="E19" s="135">
        <f t="shared" si="0"/>
        <v>180</v>
      </c>
      <c r="F19" s="334"/>
      <c r="G19" s="334"/>
      <c r="H19" s="334"/>
      <c r="I19" s="332"/>
      <c r="J19" s="333"/>
    </row>
    <row r="20" spans="1:10" x14ac:dyDescent="0.3">
      <c r="A20" s="153" t="s">
        <v>174</v>
      </c>
      <c r="B20" s="170">
        <v>50</v>
      </c>
      <c r="C20" s="99">
        <v>2</v>
      </c>
      <c r="D20" s="100">
        <v>2</v>
      </c>
      <c r="E20" s="348">
        <f t="shared" si="0"/>
        <v>200</v>
      </c>
      <c r="F20" s="334"/>
      <c r="G20" s="334"/>
      <c r="H20" s="334"/>
      <c r="I20" s="332"/>
      <c r="J20" s="333"/>
    </row>
    <row r="21" spans="1:10" x14ac:dyDescent="0.3">
      <c r="A21" s="153" t="s">
        <v>213</v>
      </c>
      <c r="B21" s="170">
        <v>180</v>
      </c>
      <c r="C21" s="102">
        <v>1</v>
      </c>
      <c r="D21" s="299">
        <v>2</v>
      </c>
      <c r="E21" s="348">
        <f t="shared" si="0"/>
        <v>360</v>
      </c>
      <c r="F21" s="334"/>
      <c r="G21" s="334"/>
      <c r="H21" s="334"/>
      <c r="I21" s="332"/>
      <c r="J21" s="333"/>
    </row>
    <row r="22" spans="1:10" ht="15" thickBot="1" x14ac:dyDescent="0.35">
      <c r="A22" s="349"/>
      <c r="B22" s="350"/>
      <c r="C22" s="351"/>
      <c r="D22" s="352"/>
      <c r="E22" s="353">
        <f>SUM(E8:E21)</f>
        <v>3720</v>
      </c>
      <c r="F22" s="104"/>
      <c r="G22" s="334"/>
      <c r="H22" s="334"/>
      <c r="I22" s="332"/>
      <c r="J22" s="333"/>
    </row>
    <row r="23" spans="1:10" x14ac:dyDescent="0.3">
      <c r="A23" s="362" t="s">
        <v>141</v>
      </c>
      <c r="B23" s="335" t="s">
        <v>142</v>
      </c>
      <c r="C23" s="341" t="s">
        <v>167</v>
      </c>
      <c r="D23" s="363" t="s">
        <v>130</v>
      </c>
      <c r="E23" s="208"/>
      <c r="F23" s="331"/>
      <c r="G23" s="106"/>
      <c r="H23" s="106"/>
      <c r="I23" s="332"/>
      <c r="J23" s="333"/>
    </row>
    <row r="24" spans="1:10" ht="41.25" customHeight="1" x14ac:dyDescent="0.3">
      <c r="A24" s="354"/>
      <c r="B24" s="207"/>
      <c r="C24" s="206"/>
      <c r="D24" s="355"/>
      <c r="E24" s="208"/>
      <c r="F24" s="331"/>
      <c r="G24" s="106"/>
      <c r="H24" s="106"/>
      <c r="I24" s="332"/>
      <c r="J24" s="333"/>
    </row>
    <row r="25" spans="1:10" x14ac:dyDescent="0.3">
      <c r="A25" s="150" t="s">
        <v>143</v>
      </c>
      <c r="B25" s="168">
        <v>90</v>
      </c>
      <c r="C25" s="99">
        <v>3</v>
      </c>
      <c r="D25" s="356">
        <f t="shared" ref="D25:D29" si="1">B25*C25</f>
        <v>270</v>
      </c>
      <c r="E25" s="334"/>
      <c r="F25" s="208"/>
      <c r="G25" s="208"/>
      <c r="H25" s="104"/>
    </row>
    <row r="26" spans="1:10" x14ac:dyDescent="0.3">
      <c r="A26" s="346" t="s">
        <v>144</v>
      </c>
      <c r="B26" s="249">
        <v>40</v>
      </c>
      <c r="C26" s="99">
        <v>20</v>
      </c>
      <c r="D26" s="356">
        <f t="shared" si="1"/>
        <v>800</v>
      </c>
      <c r="E26" s="334"/>
      <c r="F26" s="105"/>
      <c r="G26" s="103"/>
      <c r="H26" s="103"/>
    </row>
    <row r="27" spans="1:10" x14ac:dyDescent="0.3">
      <c r="A27" s="150" t="s">
        <v>145</v>
      </c>
      <c r="B27" s="249">
        <v>15</v>
      </c>
      <c r="C27" s="99">
        <v>200</v>
      </c>
      <c r="D27" s="356">
        <f t="shared" si="1"/>
        <v>3000</v>
      </c>
      <c r="E27" s="334"/>
      <c r="F27" s="105"/>
      <c r="G27" s="103"/>
      <c r="H27" s="103"/>
    </row>
    <row r="28" spans="1:10" x14ac:dyDescent="0.3">
      <c r="A28" s="150" t="s">
        <v>146</v>
      </c>
      <c r="B28" s="249">
        <v>65</v>
      </c>
      <c r="C28" s="99">
        <v>30</v>
      </c>
      <c r="D28" s="356">
        <f t="shared" si="1"/>
        <v>1950</v>
      </c>
      <c r="E28" s="334"/>
      <c r="F28" s="105"/>
      <c r="G28" s="103"/>
      <c r="H28" s="103"/>
    </row>
    <row r="29" spans="1:10" x14ac:dyDescent="0.3">
      <c r="A29" s="150" t="s">
        <v>147</v>
      </c>
      <c r="B29" s="250">
        <v>100</v>
      </c>
      <c r="C29" s="101">
        <v>36</v>
      </c>
      <c r="D29" s="357">
        <f t="shared" si="1"/>
        <v>3600</v>
      </c>
      <c r="E29" s="334"/>
      <c r="F29" s="106"/>
      <c r="G29" s="103"/>
      <c r="H29" s="103"/>
    </row>
    <row r="30" spans="1:10" ht="15" thickBot="1" x14ac:dyDescent="0.35">
      <c r="A30" s="358"/>
      <c r="B30" s="359"/>
      <c r="C30" s="360"/>
      <c r="D30" s="361">
        <f>SUM(D25:D29)</f>
        <v>9620</v>
      </c>
      <c r="E30" s="334"/>
      <c r="F30" s="105"/>
      <c r="G30" s="103"/>
      <c r="H30" s="103"/>
    </row>
    <row r="31" spans="1:10" x14ac:dyDescent="0.3">
      <c r="A31" s="107"/>
      <c r="B31" s="174"/>
      <c r="C31" s="107"/>
      <c r="D31" s="107"/>
      <c r="E31" s="106"/>
      <c r="F31" s="106"/>
      <c r="G31" s="103"/>
      <c r="H31" s="103"/>
    </row>
    <row r="32" spans="1:10" x14ac:dyDescent="0.3">
      <c r="E32" s="332"/>
    </row>
    <row r="33" spans="5:5" x14ac:dyDescent="0.3">
      <c r="E33" s="332"/>
    </row>
  </sheetData>
  <mergeCells count="18">
    <mergeCell ref="F25:G25"/>
    <mergeCell ref="A23:A24"/>
    <mergeCell ref="B23:B24"/>
    <mergeCell ref="C23:C24"/>
    <mergeCell ref="D23:D24"/>
    <mergeCell ref="E23:E24"/>
    <mergeCell ref="F23:F24"/>
    <mergeCell ref="A6:A7"/>
    <mergeCell ref="B6:B7"/>
    <mergeCell ref="C6:C7"/>
    <mergeCell ref="D6:D7"/>
    <mergeCell ref="E6:E7"/>
    <mergeCell ref="F6:F7"/>
    <mergeCell ref="B1:C1"/>
    <mergeCell ref="B2:C2"/>
    <mergeCell ref="B3:C3"/>
    <mergeCell ref="B4:C4"/>
    <mergeCell ref="G6:G7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B28" sqref="B28"/>
    </sheetView>
  </sheetViews>
  <sheetFormatPr baseColWidth="10" defaultRowHeight="14.4" x14ac:dyDescent="0.3"/>
  <cols>
    <col min="1" max="1" width="36" customWidth="1"/>
    <col min="6" max="6" width="9" bestFit="1" customWidth="1"/>
    <col min="7" max="7" width="8" bestFit="1" customWidth="1"/>
  </cols>
  <sheetData>
    <row r="1" spans="1:8" ht="15" thickBot="1" x14ac:dyDescent="0.35">
      <c r="A1" s="108"/>
      <c r="B1" s="192" t="s">
        <v>182</v>
      </c>
      <c r="C1" s="193"/>
      <c r="D1" s="109" t="s">
        <v>20</v>
      </c>
      <c r="E1" s="110" t="s">
        <v>21</v>
      </c>
      <c r="F1" s="108"/>
      <c r="G1" s="108"/>
      <c r="H1" s="138"/>
    </row>
    <row r="2" spans="1:8" x14ac:dyDescent="0.3">
      <c r="A2" s="108"/>
      <c r="B2" s="180" t="s">
        <v>26</v>
      </c>
      <c r="C2" s="181"/>
      <c r="D2" s="158">
        <f>+F8</f>
        <v>6720</v>
      </c>
      <c r="E2" s="159">
        <f>+G8</f>
        <v>1920</v>
      </c>
      <c r="F2" s="108"/>
      <c r="G2" s="108"/>
      <c r="H2" s="138"/>
    </row>
    <row r="3" spans="1:8" ht="15" thickBot="1" x14ac:dyDescent="0.35">
      <c r="A3" s="113"/>
      <c r="B3" s="194" t="s">
        <v>4</v>
      </c>
      <c r="C3" s="195"/>
      <c r="D3" s="114">
        <f>SUM(D2:D2)</f>
        <v>6720</v>
      </c>
      <c r="E3" s="114">
        <f>SUM(E2:E2)</f>
        <v>1920</v>
      </c>
      <c r="F3" s="113"/>
      <c r="G3" s="113"/>
      <c r="H3" s="138"/>
    </row>
    <row r="4" spans="1:8" x14ac:dyDescent="0.3">
      <c r="A4" s="108"/>
      <c r="B4" s="115"/>
      <c r="C4" s="115"/>
      <c r="D4" s="115"/>
      <c r="E4" s="108"/>
      <c r="F4" s="108"/>
      <c r="G4" s="108"/>
      <c r="H4" s="138"/>
    </row>
    <row r="5" spans="1:8" ht="15" thickBot="1" x14ac:dyDescent="0.35">
      <c r="A5" s="108"/>
      <c r="B5" s="115"/>
      <c r="C5" s="115"/>
      <c r="D5" s="115"/>
      <c r="E5" s="108"/>
      <c r="F5" s="108"/>
      <c r="G5" s="108"/>
      <c r="H5" s="138"/>
    </row>
    <row r="6" spans="1:8" ht="28.2" thickBot="1" x14ac:dyDescent="0.35">
      <c r="A6" s="116" t="s">
        <v>182</v>
      </c>
      <c r="B6" s="117" t="s">
        <v>6</v>
      </c>
      <c r="C6" s="118" t="s">
        <v>11</v>
      </c>
      <c r="D6" s="119" t="s">
        <v>1</v>
      </c>
      <c r="E6" s="119" t="s">
        <v>12</v>
      </c>
      <c r="F6" s="120" t="s">
        <v>27</v>
      </c>
      <c r="G6" s="120" t="s">
        <v>28</v>
      </c>
      <c r="H6" s="138"/>
    </row>
    <row r="7" spans="1:8" ht="28.2" thickBot="1" x14ac:dyDescent="0.35">
      <c r="A7" s="160" t="s">
        <v>212</v>
      </c>
      <c r="B7" s="161">
        <v>2</v>
      </c>
      <c r="C7" s="162" t="s">
        <v>19</v>
      </c>
      <c r="D7" s="162">
        <v>12</v>
      </c>
      <c r="E7" s="163">
        <v>280</v>
      </c>
      <c r="F7" s="164">
        <f t="shared" ref="F7" si="0">+B7*D7*E7</f>
        <v>6720</v>
      </c>
      <c r="G7" s="165">
        <f t="shared" ref="G7" si="1">+F7/3.5</f>
        <v>1920</v>
      </c>
      <c r="H7" s="138"/>
    </row>
    <row r="8" spans="1:8" ht="15" thickBot="1" x14ac:dyDescent="0.35">
      <c r="A8" s="139"/>
      <c r="B8" s="140"/>
      <c r="C8" s="140"/>
      <c r="D8" s="140"/>
      <c r="E8" s="141" t="s">
        <v>4</v>
      </c>
      <c r="F8" s="142">
        <f>SUM(F7:F7)</f>
        <v>6720</v>
      </c>
      <c r="G8" s="142">
        <f>SUM(G7:G7)</f>
        <v>1920</v>
      </c>
      <c r="H8" s="138"/>
    </row>
    <row r="9" spans="1:8" x14ac:dyDescent="0.3">
      <c r="A9" s="108"/>
      <c r="B9" s="115"/>
      <c r="C9" s="115"/>
      <c r="D9" s="115"/>
      <c r="E9" s="108"/>
      <c r="F9" s="108"/>
      <c r="G9" s="108"/>
      <c r="H9" s="138"/>
    </row>
    <row r="10" spans="1:8" x14ac:dyDescent="0.3">
      <c r="A10" s="138"/>
      <c r="B10" s="138"/>
      <c r="C10" s="138"/>
      <c r="D10" s="138"/>
      <c r="E10" s="138"/>
      <c r="F10" s="138"/>
      <c r="G10" s="138"/>
      <c r="H10" s="138"/>
    </row>
  </sheetData>
  <mergeCells count="3">
    <mergeCell ref="B1:C1"/>
    <mergeCell ref="B2:C2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"/>
  <sheetViews>
    <sheetView workbookViewId="0">
      <selection activeCell="E8" sqref="E8"/>
    </sheetView>
  </sheetViews>
  <sheetFormatPr baseColWidth="10" defaultRowHeight="14.4" x14ac:dyDescent="0.3"/>
  <cols>
    <col min="1" max="1" width="35" customWidth="1"/>
    <col min="7" max="7" width="11.6640625" customWidth="1"/>
  </cols>
  <sheetData>
    <row r="1" spans="1:7" ht="15" thickBot="1" x14ac:dyDescent="0.35">
      <c r="A1" s="11"/>
      <c r="B1" s="178" t="s">
        <v>25</v>
      </c>
      <c r="C1" s="179"/>
      <c r="D1" s="56" t="s">
        <v>20</v>
      </c>
      <c r="E1" s="7" t="s">
        <v>21</v>
      </c>
      <c r="F1" s="11"/>
      <c r="G1" s="11"/>
    </row>
    <row r="2" spans="1:7" x14ac:dyDescent="0.3">
      <c r="A2" s="11"/>
      <c r="B2" s="210" t="s">
        <v>26</v>
      </c>
      <c r="C2" s="211"/>
      <c r="D2" s="29">
        <f>+F12</f>
        <v>2880</v>
      </c>
      <c r="E2" s="30">
        <f>+G12</f>
        <v>822.85714285714289</v>
      </c>
      <c r="F2" s="11"/>
      <c r="G2" s="11"/>
    </row>
    <row r="3" spans="1:7" ht="15" thickBot="1" x14ac:dyDescent="0.35">
      <c r="A3" s="16"/>
      <c r="B3" s="176" t="s">
        <v>4</v>
      </c>
      <c r="C3" s="177"/>
      <c r="D3" s="8">
        <f>SUM(D2:D2)</f>
        <v>2880</v>
      </c>
      <c r="E3" s="8">
        <f>SUM(E2:E2)</f>
        <v>822.85714285714289</v>
      </c>
      <c r="F3" s="16"/>
      <c r="G3" s="16"/>
    </row>
    <row r="4" spans="1:7" x14ac:dyDescent="0.3">
      <c r="A4" s="11"/>
      <c r="B4" s="12"/>
      <c r="C4" s="12"/>
      <c r="D4" s="12"/>
      <c r="E4" s="11"/>
      <c r="F4" s="11"/>
      <c r="G4" s="11"/>
    </row>
    <row r="5" spans="1:7" x14ac:dyDescent="0.3">
      <c r="A5" s="11"/>
      <c r="B5" s="12"/>
      <c r="C5" s="12"/>
      <c r="D5" s="12"/>
      <c r="E5" s="11"/>
      <c r="F5" s="11"/>
      <c r="G5" s="11"/>
    </row>
    <row r="6" spans="1:7" ht="15" thickBot="1" x14ac:dyDescent="0.35">
      <c r="A6" s="11"/>
      <c r="B6" s="12"/>
      <c r="C6" s="12"/>
      <c r="D6" s="12"/>
      <c r="E6" s="11"/>
      <c r="F6" s="11"/>
      <c r="G6" s="11"/>
    </row>
    <row r="7" spans="1:7" ht="29.4" thickBot="1" x14ac:dyDescent="0.35">
      <c r="A7" s="23" t="s">
        <v>24</v>
      </c>
      <c r="B7" s="24" t="s">
        <v>6</v>
      </c>
      <c r="C7" s="25" t="s">
        <v>11</v>
      </c>
      <c r="D7" s="31" t="s">
        <v>1</v>
      </c>
      <c r="E7" s="31" t="s">
        <v>12</v>
      </c>
      <c r="F7" s="32" t="s">
        <v>27</v>
      </c>
      <c r="G7" s="32" t="s">
        <v>28</v>
      </c>
    </row>
    <row r="8" spans="1:7" ht="28.8" x14ac:dyDescent="0.3">
      <c r="A8" s="18" t="s">
        <v>185</v>
      </c>
      <c r="B8" s="19">
        <v>2</v>
      </c>
      <c r="C8" s="20" t="s">
        <v>152</v>
      </c>
      <c r="D8" s="20">
        <v>12</v>
      </c>
      <c r="E8" s="21">
        <v>120</v>
      </c>
      <c r="F8" s="22">
        <f t="shared" ref="F8" si="0">+B8*D8*E8</f>
        <v>2880</v>
      </c>
      <c r="G8" s="22">
        <f t="shared" ref="G8" si="1">+F8/3.5</f>
        <v>822.85714285714289</v>
      </c>
    </row>
    <row r="9" spans="1:7" ht="28.8" x14ac:dyDescent="0.3">
      <c r="A9" s="71" t="s">
        <v>184</v>
      </c>
      <c r="B9" s="72">
        <v>0</v>
      </c>
      <c r="C9" s="20" t="s">
        <v>152</v>
      </c>
      <c r="D9" s="291"/>
      <c r="E9" s="292"/>
      <c r="F9" s="292"/>
      <c r="G9" s="290"/>
    </row>
    <row r="10" spans="1:7" x14ac:dyDescent="0.3">
      <c r="A10" s="71" t="s">
        <v>183</v>
      </c>
      <c r="B10" s="72">
        <v>0</v>
      </c>
      <c r="C10" s="20" t="s">
        <v>152</v>
      </c>
      <c r="D10" s="73">
        <v>0</v>
      </c>
      <c r="E10" s="74"/>
      <c r="F10" s="75"/>
      <c r="G10" s="22"/>
    </row>
    <row r="11" spans="1:7" ht="15" thickBot="1" x14ac:dyDescent="0.35">
      <c r="A11" s="3"/>
      <c r="B11" s="4"/>
      <c r="C11" s="5"/>
      <c r="D11" s="5"/>
      <c r="E11" s="1"/>
      <c r="F11" s="6"/>
      <c r="G11" s="2"/>
    </row>
    <row r="12" spans="1:7" ht="15" thickBot="1" x14ac:dyDescent="0.35">
      <c r="A12" s="13"/>
      <c r="B12" s="14"/>
      <c r="C12" s="14"/>
      <c r="D12" s="14"/>
      <c r="E12" s="10" t="s">
        <v>4</v>
      </c>
      <c r="F12" s="15">
        <f>SUM(F8:F11)</f>
        <v>2880</v>
      </c>
      <c r="G12" s="15">
        <f>SUM(G8:G11)</f>
        <v>822.85714285714289</v>
      </c>
    </row>
    <row r="13" spans="1:7" x14ac:dyDescent="0.3">
      <c r="A13" s="11"/>
      <c r="B13" s="12"/>
      <c r="C13" s="12"/>
      <c r="D13" s="12"/>
      <c r="E13" s="11"/>
      <c r="F13" s="11"/>
      <c r="G13" s="11"/>
    </row>
    <row r="14" spans="1:7" x14ac:dyDescent="0.3">
      <c r="A14" s="11"/>
      <c r="B14" s="12"/>
      <c r="C14" s="12"/>
      <c r="D14" s="12"/>
      <c r="E14" s="11"/>
      <c r="F14" s="11"/>
      <c r="G14" s="11"/>
    </row>
    <row r="15" spans="1:7" x14ac:dyDescent="0.3">
      <c r="A15" s="11"/>
      <c r="B15" s="12"/>
      <c r="C15" s="12"/>
      <c r="D15" s="12"/>
      <c r="E15" s="11"/>
      <c r="F15" s="11"/>
      <c r="G15" s="11"/>
    </row>
    <row r="16" spans="1:7" x14ac:dyDescent="0.3">
      <c r="A16" s="11"/>
      <c r="B16" s="12"/>
      <c r="C16" s="12"/>
      <c r="D16" s="12"/>
      <c r="E16" s="11"/>
      <c r="F16" s="11"/>
      <c r="G16" s="11"/>
    </row>
    <row r="17" spans="1:7" x14ac:dyDescent="0.3">
      <c r="A17" s="11"/>
      <c r="B17" s="12"/>
      <c r="C17" s="12"/>
      <c r="D17" s="12"/>
      <c r="E17" s="11"/>
      <c r="F17" s="11"/>
      <c r="G17" s="11"/>
    </row>
  </sheetData>
  <mergeCells count="3">
    <mergeCell ref="B1:C1"/>
    <mergeCell ref="B2:C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5"/>
  <sheetViews>
    <sheetView zoomScale="90" zoomScaleNormal="90" workbookViewId="0">
      <selection activeCell="C21" sqref="C21"/>
    </sheetView>
  </sheetViews>
  <sheetFormatPr baseColWidth="10" defaultRowHeight="14.4" x14ac:dyDescent="0.3"/>
  <cols>
    <col min="1" max="1" width="0.5546875" customWidth="1"/>
    <col min="2" max="2" width="48.33203125" customWidth="1"/>
    <col min="5" max="5" width="12.88671875" customWidth="1"/>
    <col min="7" max="7" width="12.88671875" customWidth="1"/>
    <col min="9" max="9" width="11.44140625" style="50"/>
    <col min="10" max="10" width="11.44140625" style="53"/>
    <col min="11" max="11" width="11.44140625" style="48"/>
  </cols>
  <sheetData>
    <row r="1" spans="1:10" ht="15" thickBot="1" x14ac:dyDescent="0.35">
      <c r="A1" s="11"/>
      <c r="B1" s="11"/>
      <c r="C1" s="178" t="s">
        <v>25</v>
      </c>
      <c r="D1" s="179"/>
      <c r="E1" s="46" t="s">
        <v>20</v>
      </c>
      <c r="F1" s="7" t="s">
        <v>21</v>
      </c>
      <c r="G1" s="11"/>
      <c r="H1" s="11"/>
      <c r="I1" s="49"/>
      <c r="J1" s="51"/>
    </row>
    <row r="2" spans="1:10" x14ac:dyDescent="0.3">
      <c r="A2" s="11"/>
      <c r="B2" s="108"/>
      <c r="C2" s="182" t="s">
        <v>181</v>
      </c>
      <c r="D2" s="183"/>
      <c r="E2" s="111">
        <f>+G9</f>
        <v>156000</v>
      </c>
      <c r="F2" s="112">
        <f>+H9</f>
        <v>44571.428571428572</v>
      </c>
      <c r="G2" s="108"/>
      <c r="H2" s="108"/>
      <c r="I2" s="156"/>
      <c r="J2" s="51"/>
    </row>
    <row r="3" spans="1:10" ht="15" thickBot="1" x14ac:dyDescent="0.35">
      <c r="A3" s="17"/>
      <c r="B3" s="113"/>
      <c r="C3" s="194" t="s">
        <v>4</v>
      </c>
      <c r="D3" s="195"/>
      <c r="E3" s="114">
        <f>SUM(E2:E2)</f>
        <v>156000</v>
      </c>
      <c r="F3" s="114">
        <f>SUM(F2:F2)</f>
        <v>44571.428571428572</v>
      </c>
      <c r="G3" s="113"/>
      <c r="H3" s="113"/>
      <c r="I3" s="157"/>
      <c r="J3" s="52"/>
    </row>
    <row r="4" spans="1:10" x14ac:dyDescent="0.3">
      <c r="A4" s="11"/>
      <c r="B4" s="108"/>
      <c r="C4" s="115"/>
      <c r="D4" s="115"/>
      <c r="E4" s="115"/>
      <c r="F4" s="108"/>
      <c r="G4" s="108"/>
      <c r="H4" s="108"/>
      <c r="I4" s="156"/>
      <c r="J4" s="51"/>
    </row>
    <row r="5" spans="1:10" ht="15" thickBot="1" x14ac:dyDescent="0.35">
      <c r="A5" s="11"/>
      <c r="B5" s="108"/>
      <c r="C5" s="115"/>
      <c r="D5" s="115"/>
      <c r="E5" s="115"/>
      <c r="F5" s="108"/>
      <c r="G5" s="108"/>
      <c r="H5" s="108"/>
      <c r="I5" s="156"/>
      <c r="J5" s="51"/>
    </row>
    <row r="6" spans="1:10" ht="28.2" thickBot="1" x14ac:dyDescent="0.35">
      <c r="A6" s="11"/>
      <c r="B6" s="116" t="s">
        <v>180</v>
      </c>
      <c r="C6" s="117" t="s">
        <v>6</v>
      </c>
      <c r="D6" s="118" t="s">
        <v>11</v>
      </c>
      <c r="E6" s="119" t="s">
        <v>1</v>
      </c>
      <c r="F6" s="119" t="s">
        <v>12</v>
      </c>
      <c r="G6" s="120" t="s">
        <v>27</v>
      </c>
      <c r="H6" s="120" t="s">
        <v>28</v>
      </c>
      <c r="I6" s="156"/>
      <c r="J6" s="51"/>
    </row>
    <row r="7" spans="1:10" x14ac:dyDescent="0.3">
      <c r="A7" s="11"/>
      <c r="B7" s="132" t="s">
        <v>160</v>
      </c>
      <c r="C7" s="133">
        <v>1</v>
      </c>
      <c r="D7" s="134" t="s">
        <v>19</v>
      </c>
      <c r="E7" s="134">
        <v>12</v>
      </c>
      <c r="F7" s="135">
        <v>13000</v>
      </c>
      <c r="G7" s="136">
        <f>+C7*E7*F7</f>
        <v>156000</v>
      </c>
      <c r="H7" s="136">
        <f t="shared" ref="H7:H8" si="0">+G7/3.5</f>
        <v>44571.428571428572</v>
      </c>
      <c r="I7" s="156"/>
      <c r="J7" s="51"/>
    </row>
    <row r="8" spans="1:10" ht="15" thickBot="1" x14ac:dyDescent="0.35">
      <c r="A8" s="11"/>
      <c r="B8" s="132" t="s">
        <v>159</v>
      </c>
      <c r="C8" s="133">
        <v>0</v>
      </c>
      <c r="D8" s="134" t="s">
        <v>18</v>
      </c>
      <c r="E8" s="134">
        <v>1</v>
      </c>
      <c r="F8" s="135">
        <v>18000</v>
      </c>
      <c r="G8" s="136">
        <f>+C8*E8*F8</f>
        <v>0</v>
      </c>
      <c r="H8" s="136">
        <f t="shared" si="0"/>
        <v>0</v>
      </c>
      <c r="I8" s="156"/>
      <c r="J8" s="51"/>
    </row>
    <row r="9" spans="1:10" ht="15" thickBot="1" x14ac:dyDescent="0.35">
      <c r="A9" s="11"/>
      <c r="B9" s="139"/>
      <c r="C9" s="140"/>
      <c r="D9" s="140"/>
      <c r="E9" s="140"/>
      <c r="F9" s="141" t="s">
        <v>4</v>
      </c>
      <c r="G9" s="142">
        <f>SUM(G7:G8)</f>
        <v>156000</v>
      </c>
      <c r="H9" s="142">
        <f>SUM(H7:H8)</f>
        <v>44571.428571428572</v>
      </c>
      <c r="I9" s="156"/>
      <c r="J9" s="51"/>
    </row>
    <row r="10" spans="1:10" x14ac:dyDescent="0.3">
      <c r="A10" s="11"/>
      <c r="B10" s="108"/>
      <c r="C10" s="115"/>
      <c r="D10" s="115"/>
      <c r="E10" s="115"/>
      <c r="F10" s="108"/>
      <c r="G10" s="108"/>
      <c r="H10" s="108"/>
      <c r="I10" s="156"/>
      <c r="J10" s="51"/>
    </row>
    <row r="11" spans="1:10" x14ac:dyDescent="0.3">
      <c r="A11" s="11"/>
      <c r="B11" s="108" t="s">
        <v>199</v>
      </c>
      <c r="C11" s="115"/>
      <c r="D11" s="115"/>
      <c r="E11" s="115"/>
      <c r="F11" s="108"/>
      <c r="G11" s="108"/>
      <c r="H11" s="108"/>
      <c r="I11" s="156"/>
      <c r="J11" s="51"/>
    </row>
    <row r="12" spans="1:10" x14ac:dyDescent="0.3">
      <c r="A12" s="11"/>
      <c r="B12" s="108"/>
      <c r="C12" s="115"/>
      <c r="D12" s="115"/>
      <c r="E12" s="115"/>
      <c r="F12" s="108"/>
      <c r="G12" s="108"/>
      <c r="H12" s="108"/>
      <c r="I12" s="156"/>
      <c r="J12" s="51"/>
    </row>
    <row r="13" spans="1:10" x14ac:dyDescent="0.3">
      <c r="A13" s="11"/>
      <c r="B13" s="11"/>
      <c r="C13" s="12"/>
      <c r="D13" s="12"/>
      <c r="E13" s="12"/>
      <c r="F13" s="11"/>
      <c r="G13" s="11"/>
      <c r="H13" s="11"/>
      <c r="I13" s="49"/>
      <c r="J13" s="51"/>
    </row>
    <row r="14" spans="1:10" x14ac:dyDescent="0.3">
      <c r="A14" s="11"/>
      <c r="B14" s="11"/>
      <c r="C14" s="12"/>
      <c r="D14" s="12"/>
      <c r="E14" s="12"/>
      <c r="F14" s="11"/>
      <c r="G14" s="11"/>
      <c r="H14" s="11"/>
      <c r="I14" s="49"/>
      <c r="J14" s="51"/>
    </row>
    <row r="15" spans="1:10" x14ac:dyDescent="0.3">
      <c r="A15" s="11"/>
      <c r="B15" s="11"/>
      <c r="C15" s="12"/>
      <c r="D15" s="12"/>
      <c r="E15" s="12"/>
      <c r="F15" s="11"/>
      <c r="G15" s="11"/>
      <c r="H15" s="11"/>
      <c r="I15" s="49"/>
      <c r="J15" s="51"/>
    </row>
    <row r="16" spans="1:10" x14ac:dyDescent="0.3">
      <c r="A16" s="11"/>
      <c r="B16" s="11"/>
      <c r="C16" s="12"/>
      <c r="D16" s="12"/>
      <c r="E16" s="12"/>
      <c r="F16" s="11"/>
      <c r="G16" s="11"/>
      <c r="H16" s="11"/>
      <c r="I16" s="49"/>
      <c r="J16" s="51"/>
    </row>
    <row r="17" spans="1:10" x14ac:dyDescent="0.3">
      <c r="A17" s="11"/>
      <c r="B17" s="11"/>
      <c r="C17" s="12"/>
      <c r="D17" s="12"/>
      <c r="E17" s="12"/>
      <c r="F17" s="11"/>
      <c r="G17" s="11"/>
      <c r="H17" s="11"/>
      <c r="I17" s="49"/>
      <c r="J17" s="51"/>
    </row>
    <row r="18" spans="1:10" x14ac:dyDescent="0.3">
      <c r="A18" s="11"/>
      <c r="B18" s="11"/>
      <c r="C18" s="12"/>
      <c r="D18" s="12"/>
      <c r="E18" s="12"/>
      <c r="F18" s="11"/>
      <c r="G18" s="11"/>
      <c r="H18" s="11"/>
      <c r="I18" s="49"/>
      <c r="J18" s="51"/>
    </row>
    <row r="19" spans="1:10" x14ac:dyDescent="0.3">
      <c r="A19" s="11"/>
      <c r="B19" s="11"/>
      <c r="C19" s="12"/>
      <c r="D19" s="12"/>
      <c r="E19" s="12"/>
      <c r="F19" s="11"/>
      <c r="G19" s="11"/>
      <c r="H19" s="11"/>
      <c r="I19" s="49"/>
      <c r="J19" s="51"/>
    </row>
    <row r="20" spans="1:10" x14ac:dyDescent="0.3">
      <c r="A20" s="11"/>
      <c r="B20" s="11"/>
      <c r="C20" s="12"/>
      <c r="D20" s="12"/>
      <c r="E20" s="12"/>
      <c r="F20" s="11"/>
      <c r="G20" s="11"/>
      <c r="H20" s="11"/>
      <c r="I20" s="49"/>
      <c r="J20" s="51"/>
    </row>
    <row r="21" spans="1:10" x14ac:dyDescent="0.3">
      <c r="A21" s="11"/>
      <c r="B21" s="11"/>
      <c r="C21" s="12"/>
      <c r="D21" s="12"/>
      <c r="E21" s="12"/>
      <c r="F21" s="11"/>
      <c r="G21" s="11"/>
      <c r="H21" s="11"/>
      <c r="I21" s="49"/>
      <c r="J21" s="51"/>
    </row>
    <row r="22" spans="1:10" x14ac:dyDescent="0.3">
      <c r="A22" s="11"/>
      <c r="B22" s="11"/>
      <c r="C22" s="12"/>
      <c r="D22" s="12"/>
      <c r="E22" s="12"/>
      <c r="F22" s="11"/>
      <c r="G22" s="11"/>
      <c r="H22" s="11"/>
      <c r="I22" s="49"/>
      <c r="J22" s="51"/>
    </row>
    <row r="23" spans="1:10" x14ac:dyDescent="0.3">
      <c r="A23" s="11"/>
      <c r="B23" s="11"/>
      <c r="C23" s="12"/>
      <c r="D23" s="12"/>
      <c r="E23" s="12"/>
      <c r="F23" s="11"/>
      <c r="G23" s="11"/>
      <c r="H23" s="11"/>
      <c r="I23" s="49"/>
      <c r="J23" s="51"/>
    </row>
    <row r="24" spans="1:10" x14ac:dyDescent="0.3">
      <c r="A24" s="11"/>
      <c r="B24" s="11"/>
      <c r="C24" s="12"/>
      <c r="D24" s="12"/>
      <c r="E24" s="12"/>
      <c r="F24" s="11"/>
      <c r="G24" s="11"/>
      <c r="H24" s="11"/>
      <c r="I24" s="49"/>
      <c r="J24" s="51"/>
    </row>
    <row r="25" spans="1:10" x14ac:dyDescent="0.3">
      <c r="A25" s="11"/>
      <c r="B25" s="11"/>
      <c r="C25" s="12"/>
      <c r="D25" s="12"/>
      <c r="E25" s="12"/>
      <c r="F25" s="11"/>
      <c r="G25" s="11"/>
      <c r="H25" s="11"/>
      <c r="I25" s="49"/>
      <c r="J25" s="51"/>
    </row>
  </sheetData>
  <mergeCells count="3">
    <mergeCell ref="C1:D1"/>
    <mergeCell ref="C2:D2"/>
    <mergeCell ref="C3:D3"/>
  </mergeCells>
  <pageMargins left="0.7" right="0.7" top="1.135" bottom="0.75" header="0.3" footer="0.3"/>
  <pageSetup scale="9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92D050"/>
  </sheetPr>
  <dimension ref="A2:Q27"/>
  <sheetViews>
    <sheetView zoomScale="80" zoomScaleNormal="80" workbookViewId="0">
      <selection activeCell="I23" sqref="I23"/>
    </sheetView>
  </sheetViews>
  <sheetFormatPr baseColWidth="10" defaultColWidth="9.109375" defaultRowHeight="14.4" x14ac:dyDescent="0.3"/>
  <cols>
    <col min="1" max="1" width="9.109375" style="26"/>
    <col min="2" max="2" width="43.109375" style="26" customWidth="1"/>
    <col min="3" max="3" width="11.109375" style="26" customWidth="1"/>
    <col min="4" max="4" width="11.5546875" style="26" customWidth="1"/>
    <col min="5" max="5" width="11" style="26" customWidth="1"/>
    <col min="6" max="6" width="9.5546875" style="26" customWidth="1"/>
    <col min="7" max="7" width="15.44140625" style="26" customWidth="1"/>
    <col min="8" max="8" width="14.88671875" style="26" customWidth="1"/>
    <col min="9" max="9" width="13.5546875" style="26" customWidth="1"/>
    <col min="10" max="10" width="5.88671875" style="26" customWidth="1"/>
    <col min="11" max="252" width="11.44140625" style="26" customWidth="1"/>
    <col min="253" max="16384" width="9.109375" style="26"/>
  </cols>
  <sheetData>
    <row r="2" spans="2:16" ht="15" thickBot="1" x14ac:dyDescent="0.35"/>
    <row r="3" spans="2:16" ht="15" thickBot="1" x14ac:dyDescent="0.35">
      <c r="B3" s="143" t="s">
        <v>15</v>
      </c>
      <c r="C3" s="110" t="s">
        <v>20</v>
      </c>
      <c r="D3" s="110" t="s">
        <v>21</v>
      </c>
      <c r="E3" s="138"/>
      <c r="F3" s="138"/>
      <c r="G3" s="138"/>
      <c r="H3" s="138"/>
      <c r="I3" s="138"/>
      <c r="J3" s="138"/>
    </row>
    <row r="4" spans="2:16" x14ac:dyDescent="0.3">
      <c r="B4" s="144" t="s">
        <v>5</v>
      </c>
      <c r="C4" s="145">
        <f>+H21</f>
        <v>86400</v>
      </c>
      <c r="D4" s="145">
        <f>+I21</f>
        <v>27172.514285714289</v>
      </c>
      <c r="E4" s="138"/>
      <c r="F4" s="138"/>
      <c r="G4" s="138"/>
      <c r="H4" s="138"/>
      <c r="I4" s="138"/>
      <c r="J4" s="138"/>
    </row>
    <row r="5" spans="2:16" x14ac:dyDescent="0.3">
      <c r="B5" s="146" t="s">
        <v>4</v>
      </c>
      <c r="C5" s="147">
        <f>SUM(C4:C4)</f>
        <v>86400</v>
      </c>
      <c r="D5" s="147">
        <f>SUM(D4:D4)</f>
        <v>27172.514285714289</v>
      </c>
      <c r="E5" s="148"/>
      <c r="F5" s="148"/>
      <c r="G5" s="138"/>
      <c r="H5" s="138"/>
      <c r="I5" s="138"/>
      <c r="J5" s="138"/>
    </row>
    <row r="6" spans="2:16" x14ac:dyDescent="0.3">
      <c r="B6" s="138"/>
      <c r="C6" s="138"/>
      <c r="D6" s="138"/>
      <c r="E6" s="138"/>
      <c r="F6" s="138"/>
      <c r="G6" s="138"/>
      <c r="H6" s="138"/>
      <c r="I6" s="148"/>
      <c r="J6" s="138"/>
    </row>
    <row r="7" spans="2:16" ht="15" thickBot="1" x14ac:dyDescent="0.35">
      <c r="B7" s="103"/>
      <c r="C7" s="103"/>
      <c r="D7" s="103"/>
      <c r="E7" s="148"/>
      <c r="F7" s="148"/>
      <c r="G7" s="148"/>
      <c r="H7" s="148"/>
      <c r="I7" s="148"/>
      <c r="J7" s="138"/>
      <c r="K7" s="27"/>
      <c r="L7" s="27"/>
      <c r="M7" s="27"/>
      <c r="N7" s="27"/>
      <c r="O7" s="27"/>
      <c r="P7" s="27"/>
    </row>
    <row r="8" spans="2:16" ht="15.75" customHeight="1" thickBot="1" x14ac:dyDescent="0.35">
      <c r="B8" s="212" t="s">
        <v>5</v>
      </c>
      <c r="C8" s="220" t="s">
        <v>6</v>
      </c>
      <c r="D8" s="222" t="s">
        <v>1</v>
      </c>
      <c r="E8" s="215" t="s">
        <v>7</v>
      </c>
      <c r="F8" s="216"/>
      <c r="G8" s="149" t="s">
        <v>14</v>
      </c>
      <c r="H8" s="205" t="s">
        <v>22</v>
      </c>
      <c r="I8" s="205" t="s">
        <v>23</v>
      </c>
      <c r="J8" s="138"/>
      <c r="K8" s="27"/>
      <c r="L8" s="27"/>
      <c r="M8" s="27"/>
      <c r="N8" s="27"/>
      <c r="O8" s="27"/>
      <c r="P8" s="27"/>
    </row>
    <row r="9" spans="2:16" ht="15" customHeight="1" x14ac:dyDescent="0.3">
      <c r="B9" s="213"/>
      <c r="C9" s="221"/>
      <c r="D9" s="223"/>
      <c r="E9" s="218" t="s">
        <v>8</v>
      </c>
      <c r="F9" s="218" t="s">
        <v>9</v>
      </c>
      <c r="G9" s="209" t="s">
        <v>10</v>
      </c>
      <c r="H9" s="217"/>
      <c r="I9" s="217"/>
      <c r="J9" s="138"/>
      <c r="K9" s="27"/>
      <c r="L9" s="27"/>
      <c r="M9" s="27"/>
      <c r="N9" s="27"/>
      <c r="O9" s="27"/>
      <c r="P9" s="27"/>
    </row>
    <row r="10" spans="2:16" ht="15" thickBot="1" x14ac:dyDescent="0.35">
      <c r="B10" s="214"/>
      <c r="C10" s="221"/>
      <c r="D10" s="223"/>
      <c r="E10" s="219"/>
      <c r="F10" s="219"/>
      <c r="G10" s="217"/>
      <c r="H10" s="217"/>
      <c r="I10" s="217"/>
      <c r="J10" s="138"/>
      <c r="K10" s="27"/>
      <c r="L10" s="27"/>
      <c r="M10" s="27"/>
      <c r="N10" s="27"/>
      <c r="O10" s="27"/>
      <c r="P10" s="27"/>
    </row>
    <row r="11" spans="2:16" x14ac:dyDescent="0.3">
      <c r="B11" s="150" t="s">
        <v>164</v>
      </c>
      <c r="C11" s="144">
        <v>1</v>
      </c>
      <c r="D11" s="237">
        <v>12</v>
      </c>
      <c r="E11" s="242">
        <v>1800</v>
      </c>
      <c r="F11" s="151">
        <v>1800</v>
      </c>
      <c r="G11" s="243">
        <v>0</v>
      </c>
      <c r="H11" s="245">
        <f t="shared" ref="H11:H17" si="0">(E11+F11+G11)*D11*C11</f>
        <v>43200</v>
      </c>
      <c r="I11" s="152">
        <f t="shared" ref="I11:I17" si="1">H11/3.5</f>
        <v>12342.857142857143</v>
      </c>
      <c r="J11" s="138"/>
      <c r="K11" s="27"/>
      <c r="L11" s="27"/>
      <c r="M11" s="27"/>
      <c r="N11" s="27"/>
      <c r="O11" s="27"/>
      <c r="P11" s="27"/>
    </row>
    <row r="12" spans="2:16" x14ac:dyDescent="0.3">
      <c r="B12" s="150" t="s">
        <v>177</v>
      </c>
      <c r="C12" s="144">
        <v>1</v>
      </c>
      <c r="D12" s="237">
        <v>12</v>
      </c>
      <c r="E12" s="242">
        <v>1800</v>
      </c>
      <c r="F12" s="151">
        <v>1800</v>
      </c>
      <c r="G12" s="244">
        <v>0</v>
      </c>
      <c r="H12" s="242">
        <f t="shared" si="0"/>
        <v>43200</v>
      </c>
      <c r="I12" s="151">
        <f t="shared" si="1"/>
        <v>12342.857142857143</v>
      </c>
      <c r="J12" s="138"/>
      <c r="K12" s="27"/>
      <c r="L12" s="27"/>
      <c r="M12" s="27"/>
      <c r="N12" s="27"/>
      <c r="O12" s="27"/>
      <c r="P12" s="27"/>
    </row>
    <row r="13" spans="2:16" x14ac:dyDescent="0.3">
      <c r="B13" s="150" t="s">
        <v>165</v>
      </c>
      <c r="C13" s="144">
        <v>0</v>
      </c>
      <c r="D13" s="237">
        <v>1</v>
      </c>
      <c r="E13" s="242">
        <v>1500</v>
      </c>
      <c r="F13" s="151">
        <v>1500</v>
      </c>
      <c r="G13" s="244">
        <v>0</v>
      </c>
      <c r="H13" s="242">
        <f t="shared" si="0"/>
        <v>0</v>
      </c>
      <c r="I13" s="151">
        <f>H13/3.5</f>
        <v>0</v>
      </c>
      <c r="J13" s="138"/>
      <c r="K13" s="27"/>
      <c r="L13" s="27"/>
      <c r="M13" s="27"/>
      <c r="N13" s="27"/>
      <c r="O13" s="27"/>
      <c r="P13" s="27"/>
    </row>
    <row r="14" spans="2:16" x14ac:dyDescent="0.3">
      <c r="B14" s="150" t="s">
        <v>166</v>
      </c>
      <c r="C14" s="144">
        <v>1</v>
      </c>
      <c r="D14" s="237">
        <v>0</v>
      </c>
      <c r="E14" s="242">
        <v>1500</v>
      </c>
      <c r="F14" s="151">
        <v>1500</v>
      </c>
      <c r="G14" s="244">
        <v>0</v>
      </c>
      <c r="H14" s="242">
        <f t="shared" ref="H14" si="2">(E14+F14+G14)*D14*C14</f>
        <v>0</v>
      </c>
      <c r="I14" s="151">
        <v>1242.9000000000001</v>
      </c>
      <c r="J14" s="138"/>
      <c r="K14" s="27"/>
      <c r="L14" s="27"/>
      <c r="M14" s="27"/>
      <c r="N14" s="27"/>
      <c r="O14" s="27"/>
      <c r="P14" s="27"/>
    </row>
    <row r="15" spans="2:16" x14ac:dyDescent="0.3">
      <c r="B15" s="150" t="s">
        <v>204</v>
      </c>
      <c r="C15" s="144">
        <v>0</v>
      </c>
      <c r="D15" s="237">
        <v>12</v>
      </c>
      <c r="E15" s="242">
        <v>1500</v>
      </c>
      <c r="F15" s="151">
        <v>1500</v>
      </c>
      <c r="G15" s="244">
        <v>0</v>
      </c>
      <c r="H15" s="242">
        <f t="shared" ref="H15" si="3">(E15+F15+G15)*D15*C15</f>
        <v>0</v>
      </c>
      <c r="I15" s="151">
        <v>1243.9000000000001</v>
      </c>
      <c r="J15" s="138"/>
      <c r="K15" s="27"/>
      <c r="L15" s="27"/>
      <c r="M15" s="27"/>
      <c r="N15" s="27"/>
      <c r="O15" s="27"/>
      <c r="P15" s="27"/>
    </row>
    <row r="16" spans="2:16" x14ac:dyDescent="0.3">
      <c r="B16" s="150" t="s">
        <v>178</v>
      </c>
      <c r="C16" s="144">
        <v>0</v>
      </c>
      <c r="D16" s="237">
        <v>1</v>
      </c>
      <c r="E16" s="242">
        <v>1500</v>
      </c>
      <c r="F16" s="151">
        <v>1500</v>
      </c>
      <c r="G16" s="244">
        <v>0</v>
      </c>
      <c r="H16" s="242">
        <v>0</v>
      </c>
      <c r="I16" s="151">
        <f t="shared" si="1"/>
        <v>0</v>
      </c>
      <c r="J16" s="138"/>
      <c r="K16" s="27"/>
      <c r="L16" s="27"/>
      <c r="M16" s="27"/>
      <c r="N16" s="27"/>
      <c r="O16" s="27"/>
      <c r="P16" s="27"/>
    </row>
    <row r="17" spans="1:17" x14ac:dyDescent="0.3">
      <c r="B17" s="150" t="s">
        <v>176</v>
      </c>
      <c r="C17" s="144">
        <v>0</v>
      </c>
      <c r="D17" s="237">
        <v>0</v>
      </c>
      <c r="E17" s="242">
        <v>1500</v>
      </c>
      <c r="F17" s="151">
        <v>1500</v>
      </c>
      <c r="G17" s="242">
        <v>0</v>
      </c>
      <c r="H17" s="242">
        <f t="shared" si="0"/>
        <v>0</v>
      </c>
      <c r="I17" s="151">
        <f t="shared" si="1"/>
        <v>0</v>
      </c>
      <c r="J17" s="138"/>
      <c r="K17" s="27"/>
      <c r="L17" s="27"/>
      <c r="M17" s="27"/>
      <c r="N17" s="27"/>
      <c r="O17" s="27"/>
      <c r="P17" s="27"/>
    </row>
    <row r="18" spans="1:17" x14ac:dyDescent="0.3">
      <c r="B18" s="153" t="s">
        <v>175</v>
      </c>
      <c r="C18" s="154">
        <v>0</v>
      </c>
      <c r="D18" s="238">
        <v>1</v>
      </c>
      <c r="E18" s="242">
        <v>900</v>
      </c>
      <c r="F18" s="151"/>
      <c r="G18" s="244"/>
      <c r="H18" s="244">
        <f>(E18+F18+G18)*D18*C18</f>
        <v>0</v>
      </c>
      <c r="I18" s="236">
        <f>H18/3.5</f>
        <v>0</v>
      </c>
      <c r="J18" s="138"/>
      <c r="K18" s="27"/>
      <c r="L18" s="27"/>
      <c r="M18" s="27"/>
      <c r="N18" s="27"/>
      <c r="O18" s="27"/>
      <c r="P18" s="27"/>
    </row>
    <row r="19" spans="1:17" x14ac:dyDescent="0.3">
      <c r="B19" s="155" t="s">
        <v>179</v>
      </c>
      <c r="C19" s="154">
        <v>0</v>
      </c>
      <c r="D19" s="238">
        <v>1</v>
      </c>
      <c r="E19" s="242">
        <v>300</v>
      </c>
      <c r="F19" s="235"/>
      <c r="G19" s="242"/>
      <c r="H19" s="242">
        <f t="shared" ref="H19" si="4">(E19+F19+G19)*D19*C19</f>
        <v>0</v>
      </c>
      <c r="I19" s="151">
        <f t="shared" ref="I19" si="5">H19/3.5</f>
        <v>0</v>
      </c>
      <c r="J19" s="138"/>
      <c r="K19" s="27"/>
      <c r="L19" s="27"/>
      <c r="M19" s="27"/>
      <c r="N19" s="27"/>
      <c r="O19" s="27"/>
      <c r="P19" s="27"/>
    </row>
    <row r="20" spans="1:17" ht="15" customHeight="1" thickBot="1" x14ac:dyDescent="0.35">
      <c r="B20" s="138"/>
      <c r="C20" s="241">
        <f>SUM(C11:C19)</f>
        <v>3</v>
      </c>
      <c r="D20" s="240"/>
      <c r="E20" s="138"/>
      <c r="F20" s="138"/>
      <c r="G20" s="138"/>
      <c r="H20" s="138"/>
      <c r="I20" s="138"/>
      <c r="J20" s="138"/>
      <c r="K20" s="27"/>
      <c r="L20" s="27"/>
      <c r="M20" s="27"/>
      <c r="N20" s="27"/>
      <c r="O20" s="27"/>
      <c r="P20" s="27"/>
    </row>
    <row r="21" spans="1:17" ht="15" thickBot="1" x14ac:dyDescent="0.35">
      <c r="A21" s="70"/>
      <c r="B21" s="103"/>
      <c r="C21" s="239"/>
      <c r="D21" s="103"/>
      <c r="E21" s="148"/>
      <c r="F21" s="148"/>
      <c r="G21" s="148"/>
      <c r="H21" s="246">
        <f>SUM(H11:H19)</f>
        <v>86400</v>
      </c>
      <c r="I21" s="247">
        <f>SUM(I11:I19)</f>
        <v>27172.514285714289</v>
      </c>
      <c r="J21" s="138"/>
      <c r="K21" s="27"/>
      <c r="L21" s="27"/>
      <c r="M21" s="27"/>
      <c r="N21" s="27"/>
      <c r="O21" s="27"/>
      <c r="P21" s="27"/>
    </row>
    <row r="22" spans="1:17" x14ac:dyDescent="0.3">
      <c r="B22" s="103"/>
      <c r="C22" s="103"/>
      <c r="D22" s="103"/>
      <c r="E22" s="148"/>
      <c r="F22" s="148"/>
      <c r="G22" s="148"/>
      <c r="H22" s="148"/>
      <c r="I22" s="148"/>
      <c r="J22" s="138"/>
      <c r="M22" s="27"/>
      <c r="N22" s="27"/>
      <c r="O22" s="27"/>
    </row>
    <row r="23" spans="1:17" x14ac:dyDescent="0.3">
      <c r="B23" s="44"/>
      <c r="M23" s="27"/>
      <c r="N23" s="27"/>
      <c r="O23" s="27"/>
    </row>
    <row r="24" spans="1:17" x14ac:dyDescent="0.3">
      <c r="M24" s="27"/>
      <c r="N24" s="27"/>
      <c r="O24" s="27"/>
      <c r="P24" s="27"/>
    </row>
    <row r="25" spans="1:17" x14ac:dyDescent="0.3">
      <c r="M25" s="27"/>
      <c r="N25" s="27"/>
      <c r="O25" s="27"/>
    </row>
    <row r="27" spans="1:17" x14ac:dyDescent="0.3">
      <c r="P27" s="54"/>
      <c r="Q27"/>
    </row>
  </sheetData>
  <mergeCells count="9">
    <mergeCell ref="B8:B10"/>
    <mergeCell ref="E8:F8"/>
    <mergeCell ref="H8:H10"/>
    <mergeCell ref="I8:I10"/>
    <mergeCell ref="E9:E10"/>
    <mergeCell ref="F9:F10"/>
    <mergeCell ref="G9:G10"/>
    <mergeCell ref="C8:C10"/>
    <mergeCell ref="D8:D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07"/>
  <sheetViews>
    <sheetView workbookViewId="0">
      <selection activeCell="I7" sqref="I7"/>
    </sheetView>
  </sheetViews>
  <sheetFormatPr baseColWidth="10" defaultColWidth="19.44140625" defaultRowHeight="12.6" x14ac:dyDescent="0.25"/>
  <cols>
    <col min="1" max="1" width="31.6640625" style="39" customWidth="1"/>
    <col min="2" max="2" width="7.44140625" style="39" bestFit="1" customWidth="1"/>
    <col min="3" max="3" width="15.5546875" style="259" customWidth="1"/>
    <col min="4" max="4" width="12.6640625" style="288" customWidth="1"/>
    <col min="5" max="5" width="10.5546875" style="259" customWidth="1"/>
    <col min="6" max="6" width="12.21875" style="259" bestFit="1" customWidth="1"/>
    <col min="7" max="7" width="13.5546875" style="259" bestFit="1" customWidth="1"/>
    <col min="8" max="8" width="5.33203125" style="39" customWidth="1"/>
    <col min="9" max="9" width="23.33203125" style="39" customWidth="1"/>
    <col min="10" max="10" width="13.109375" style="39" customWidth="1"/>
    <col min="11" max="16384" width="19.44140625" style="39"/>
  </cols>
  <sheetData>
    <row r="1" spans="1:9" ht="14.4" x14ac:dyDescent="0.3">
      <c r="A1" s="38"/>
      <c r="B1" s="38"/>
      <c r="C1" s="251"/>
      <c r="D1" s="40"/>
      <c r="E1" s="40"/>
      <c r="F1" s="40"/>
      <c r="G1" s="260"/>
    </row>
    <row r="2" spans="1:9" ht="14.4" x14ac:dyDescent="0.25">
      <c r="A2" s="40"/>
      <c r="B2" s="40"/>
      <c r="C2" s="40"/>
      <c r="D2" s="40"/>
      <c r="E2" s="40"/>
      <c r="F2" s="40"/>
      <c r="G2" s="40"/>
    </row>
    <row r="3" spans="1:9" ht="14.4" x14ac:dyDescent="0.25">
      <c r="A3" s="40"/>
      <c r="B3" s="225" t="s">
        <v>193</v>
      </c>
      <c r="C3" s="225"/>
      <c r="D3" s="76" t="s">
        <v>30</v>
      </c>
      <c r="E3" s="175" t="s">
        <v>31</v>
      </c>
      <c r="F3" s="40"/>
      <c r="G3" s="40"/>
    </row>
    <row r="4" spans="1:9" ht="14.4" x14ac:dyDescent="0.25">
      <c r="A4" s="40"/>
      <c r="B4" s="226" t="s">
        <v>32</v>
      </c>
      <c r="C4" s="226"/>
      <c r="D4" s="261">
        <f>F46</f>
        <v>2007.63</v>
      </c>
      <c r="E4" s="262">
        <f>G46</f>
        <v>573.60857142857128</v>
      </c>
      <c r="F4" s="40"/>
      <c r="G4" s="40"/>
    </row>
    <row r="5" spans="1:9" ht="14.4" x14ac:dyDescent="0.25">
      <c r="A5" s="40"/>
      <c r="B5" s="226" t="s">
        <v>33</v>
      </c>
      <c r="C5" s="226"/>
      <c r="D5" s="261">
        <f>F53</f>
        <v>0</v>
      </c>
      <c r="E5" s="262">
        <f>G53</f>
        <v>0</v>
      </c>
      <c r="F5" s="40"/>
      <c r="G5" s="40"/>
    </row>
    <row r="6" spans="1:9" ht="14.4" x14ac:dyDescent="0.25">
      <c r="A6" s="40"/>
      <c r="B6" s="293" t="s">
        <v>211</v>
      </c>
      <c r="C6" s="294"/>
      <c r="D6" s="261">
        <f>F62</f>
        <v>18400</v>
      </c>
      <c r="E6" s="262">
        <f>G62</f>
        <v>5257.1428571428569</v>
      </c>
      <c r="F6" s="40"/>
      <c r="G6" s="40"/>
      <c r="I6" s="329">
        <f>D4+D7</f>
        <v>10094.878000000001</v>
      </c>
    </row>
    <row r="7" spans="1:9" ht="14.4" x14ac:dyDescent="0.25">
      <c r="A7" s="40"/>
      <c r="B7" s="226" t="s">
        <v>34</v>
      </c>
      <c r="C7" s="226"/>
      <c r="D7" s="261">
        <f>F105</f>
        <v>8087.2479999999996</v>
      </c>
      <c r="E7" s="262">
        <f>G105</f>
        <v>2310.6422857142861</v>
      </c>
      <c r="F7" s="40"/>
      <c r="G7" s="40"/>
    </row>
    <row r="8" spans="1:9" ht="14.4" x14ac:dyDescent="0.25">
      <c r="A8" s="40"/>
      <c r="B8" s="224" t="s">
        <v>4</v>
      </c>
      <c r="C8" s="224"/>
      <c r="D8" s="263">
        <f>SUM(D4:D7)</f>
        <v>28494.878000000001</v>
      </c>
      <c r="E8" s="264">
        <f>SUM(E4:E7)</f>
        <v>8141.3937142857139</v>
      </c>
      <c r="F8" s="40"/>
      <c r="G8" s="40"/>
    </row>
    <row r="9" spans="1:9" ht="15" thickBot="1" x14ac:dyDescent="0.35">
      <c r="A9" s="38"/>
      <c r="B9" s="38"/>
      <c r="C9" s="251"/>
      <c r="D9" s="265"/>
      <c r="E9" s="265"/>
      <c r="F9" s="265"/>
      <c r="G9" s="265"/>
    </row>
    <row r="10" spans="1:9" ht="30.75" customHeight="1" thickBot="1" x14ac:dyDescent="0.3">
      <c r="A10" s="59" t="s">
        <v>35</v>
      </c>
      <c r="B10" s="227" t="s">
        <v>11</v>
      </c>
      <c r="C10" s="227" t="s">
        <v>6</v>
      </c>
      <c r="D10" s="227" t="s">
        <v>36</v>
      </c>
      <c r="E10" s="60" t="s">
        <v>37</v>
      </c>
      <c r="F10" s="229" t="s">
        <v>38</v>
      </c>
      <c r="G10" s="229" t="s">
        <v>39</v>
      </c>
    </row>
    <row r="11" spans="1:9" ht="14.4" thickBot="1" x14ac:dyDescent="0.3">
      <c r="A11" s="61" t="s">
        <v>40</v>
      </c>
      <c r="B11" s="228"/>
      <c r="C11" s="228"/>
      <c r="D11" s="228"/>
      <c r="E11" s="62"/>
      <c r="F11" s="230"/>
      <c r="G11" s="230"/>
    </row>
    <row r="12" spans="1:9" ht="13.8" x14ac:dyDescent="0.25">
      <c r="A12" s="63" t="s">
        <v>41</v>
      </c>
      <c r="B12" s="64" t="s">
        <v>42</v>
      </c>
      <c r="C12" s="302">
        <v>2</v>
      </c>
      <c r="D12" s="266">
        <v>4</v>
      </c>
      <c r="E12" s="267">
        <f>+C12*D12</f>
        <v>8</v>
      </c>
      <c r="F12" s="268">
        <f>+E12*3</f>
        <v>24</v>
      </c>
      <c r="G12" s="269">
        <f>+F12/3.5</f>
        <v>6.8571428571428568</v>
      </c>
    </row>
    <row r="13" spans="1:9" ht="13.8" x14ac:dyDescent="0.25">
      <c r="A13" s="65" t="s">
        <v>43</v>
      </c>
      <c r="B13" s="66" t="s">
        <v>44</v>
      </c>
      <c r="C13" s="252">
        <v>2</v>
      </c>
      <c r="D13" s="270">
        <v>4</v>
      </c>
      <c r="E13" s="271">
        <f t="shared" ref="E13:E45" si="0">+C13*D13</f>
        <v>8</v>
      </c>
      <c r="F13" s="268">
        <f t="shared" ref="F13:F45" si="1">+E13*3</f>
        <v>24</v>
      </c>
      <c r="G13" s="272">
        <f t="shared" ref="G13:G45" si="2">+F13/3.5</f>
        <v>6.8571428571428568</v>
      </c>
    </row>
    <row r="14" spans="1:9" ht="13.8" x14ac:dyDescent="0.25">
      <c r="A14" s="65" t="s">
        <v>45</v>
      </c>
      <c r="B14" s="66" t="s">
        <v>42</v>
      </c>
      <c r="C14" s="252">
        <v>2</v>
      </c>
      <c r="D14" s="270">
        <v>7</v>
      </c>
      <c r="E14" s="271">
        <f t="shared" si="0"/>
        <v>14</v>
      </c>
      <c r="F14" s="268">
        <f t="shared" si="1"/>
        <v>42</v>
      </c>
      <c r="G14" s="272">
        <f t="shared" si="2"/>
        <v>12</v>
      </c>
    </row>
    <row r="15" spans="1:9" ht="13.8" x14ac:dyDescent="0.25">
      <c r="A15" s="65" t="s">
        <v>46</v>
      </c>
      <c r="B15" s="66" t="s">
        <v>47</v>
      </c>
      <c r="C15" s="252">
        <v>2</v>
      </c>
      <c r="D15" s="270">
        <v>30</v>
      </c>
      <c r="E15" s="271">
        <f t="shared" si="0"/>
        <v>60</v>
      </c>
      <c r="F15" s="268">
        <f t="shared" si="1"/>
        <v>180</v>
      </c>
      <c r="G15" s="272">
        <f t="shared" si="2"/>
        <v>51.428571428571431</v>
      </c>
    </row>
    <row r="16" spans="1:9" ht="13.8" x14ac:dyDescent="0.25">
      <c r="A16" s="65" t="s">
        <v>48</v>
      </c>
      <c r="B16" s="66" t="s">
        <v>42</v>
      </c>
      <c r="C16" s="252">
        <v>2</v>
      </c>
      <c r="D16" s="270">
        <v>2</v>
      </c>
      <c r="E16" s="271">
        <f t="shared" si="0"/>
        <v>4</v>
      </c>
      <c r="F16" s="268">
        <f t="shared" si="1"/>
        <v>12</v>
      </c>
      <c r="G16" s="272">
        <f t="shared" si="2"/>
        <v>3.4285714285714284</v>
      </c>
    </row>
    <row r="17" spans="1:7" ht="13.8" x14ac:dyDescent="0.25">
      <c r="A17" s="65" t="s">
        <v>49</v>
      </c>
      <c r="B17" s="66" t="s">
        <v>42</v>
      </c>
      <c r="C17" s="252">
        <v>2</v>
      </c>
      <c r="D17" s="270">
        <v>1.2</v>
      </c>
      <c r="E17" s="271">
        <f t="shared" si="0"/>
        <v>2.4</v>
      </c>
      <c r="F17" s="268">
        <f t="shared" si="1"/>
        <v>7.1999999999999993</v>
      </c>
      <c r="G17" s="272">
        <f t="shared" si="2"/>
        <v>2.0571428571428569</v>
      </c>
    </row>
    <row r="18" spans="1:7" ht="13.8" x14ac:dyDescent="0.25">
      <c r="A18" s="65" t="s">
        <v>50</v>
      </c>
      <c r="B18" s="66" t="s">
        <v>42</v>
      </c>
      <c r="C18" s="252">
        <v>2</v>
      </c>
      <c r="D18" s="270">
        <v>6</v>
      </c>
      <c r="E18" s="271">
        <f t="shared" si="0"/>
        <v>12</v>
      </c>
      <c r="F18" s="268">
        <f t="shared" si="1"/>
        <v>36</v>
      </c>
      <c r="G18" s="272">
        <f t="shared" si="2"/>
        <v>10.285714285714286</v>
      </c>
    </row>
    <row r="19" spans="1:7" ht="13.8" x14ac:dyDescent="0.25">
      <c r="A19" s="65" t="s">
        <v>51</v>
      </c>
      <c r="B19" s="66" t="s">
        <v>42</v>
      </c>
      <c r="C19" s="252">
        <v>2</v>
      </c>
      <c r="D19" s="270">
        <v>5</v>
      </c>
      <c r="E19" s="271">
        <f t="shared" si="0"/>
        <v>10</v>
      </c>
      <c r="F19" s="268">
        <f t="shared" si="1"/>
        <v>30</v>
      </c>
      <c r="G19" s="272">
        <f t="shared" si="2"/>
        <v>8.5714285714285712</v>
      </c>
    </row>
    <row r="20" spans="1:7" ht="13.8" x14ac:dyDescent="0.25">
      <c r="A20" s="65" t="s">
        <v>52</v>
      </c>
      <c r="B20" s="66" t="s">
        <v>47</v>
      </c>
      <c r="C20" s="252">
        <v>2</v>
      </c>
      <c r="D20" s="270">
        <v>8</v>
      </c>
      <c r="E20" s="271">
        <f t="shared" si="0"/>
        <v>16</v>
      </c>
      <c r="F20" s="268">
        <f t="shared" si="1"/>
        <v>48</v>
      </c>
      <c r="G20" s="272">
        <f t="shared" si="2"/>
        <v>13.714285714285714</v>
      </c>
    </row>
    <row r="21" spans="1:7" ht="13.8" x14ac:dyDescent="0.25">
      <c r="A21" s="65" t="s">
        <v>53</v>
      </c>
      <c r="B21" s="66" t="s">
        <v>42</v>
      </c>
      <c r="C21" s="252">
        <v>2</v>
      </c>
      <c r="D21" s="270">
        <v>2.5</v>
      </c>
      <c r="E21" s="271">
        <f t="shared" si="0"/>
        <v>5</v>
      </c>
      <c r="F21" s="268">
        <f t="shared" si="1"/>
        <v>15</v>
      </c>
      <c r="G21" s="272">
        <f t="shared" si="2"/>
        <v>4.2857142857142856</v>
      </c>
    </row>
    <row r="22" spans="1:7" ht="13.8" x14ac:dyDescent="0.25">
      <c r="A22" s="65" t="s">
        <v>54</v>
      </c>
      <c r="B22" s="66" t="s">
        <v>42</v>
      </c>
      <c r="C22" s="252">
        <v>2</v>
      </c>
      <c r="D22" s="270">
        <v>3</v>
      </c>
      <c r="E22" s="271">
        <f t="shared" si="0"/>
        <v>6</v>
      </c>
      <c r="F22" s="268">
        <f t="shared" si="1"/>
        <v>18</v>
      </c>
      <c r="G22" s="272">
        <f t="shared" si="2"/>
        <v>5.1428571428571432</v>
      </c>
    </row>
    <row r="23" spans="1:7" ht="13.8" x14ac:dyDescent="0.25">
      <c r="A23" s="65" t="s">
        <v>55</v>
      </c>
      <c r="B23" s="66" t="s">
        <v>42</v>
      </c>
      <c r="C23" s="252">
        <v>2</v>
      </c>
      <c r="D23" s="270">
        <v>3</v>
      </c>
      <c r="E23" s="271">
        <f t="shared" si="0"/>
        <v>6</v>
      </c>
      <c r="F23" s="268">
        <f t="shared" si="1"/>
        <v>18</v>
      </c>
      <c r="G23" s="272">
        <f t="shared" si="2"/>
        <v>5.1428571428571432</v>
      </c>
    </row>
    <row r="24" spans="1:7" ht="13.8" x14ac:dyDescent="0.25">
      <c r="A24" s="65" t="s">
        <v>56</v>
      </c>
      <c r="B24" s="66" t="s">
        <v>42</v>
      </c>
      <c r="C24" s="252">
        <v>2</v>
      </c>
      <c r="D24" s="270">
        <v>6</v>
      </c>
      <c r="E24" s="271">
        <f t="shared" si="0"/>
        <v>12</v>
      </c>
      <c r="F24" s="268">
        <f t="shared" si="1"/>
        <v>36</v>
      </c>
      <c r="G24" s="272">
        <f t="shared" si="2"/>
        <v>10.285714285714286</v>
      </c>
    </row>
    <row r="25" spans="1:7" ht="13.8" x14ac:dyDescent="0.25">
      <c r="A25" s="65" t="s">
        <v>57</v>
      </c>
      <c r="B25" s="66" t="s">
        <v>42</v>
      </c>
      <c r="C25" s="252">
        <v>2</v>
      </c>
      <c r="D25" s="270">
        <v>9</v>
      </c>
      <c r="E25" s="271">
        <f t="shared" si="0"/>
        <v>18</v>
      </c>
      <c r="F25" s="268">
        <f t="shared" si="1"/>
        <v>54</v>
      </c>
      <c r="G25" s="272">
        <f t="shared" si="2"/>
        <v>15.428571428571429</v>
      </c>
    </row>
    <row r="26" spans="1:7" ht="13.8" x14ac:dyDescent="0.25">
      <c r="A26" s="65" t="s">
        <v>58</v>
      </c>
      <c r="B26" s="66" t="s">
        <v>42</v>
      </c>
      <c r="C26" s="252">
        <v>2</v>
      </c>
      <c r="D26" s="270">
        <v>30</v>
      </c>
      <c r="E26" s="271">
        <f t="shared" si="0"/>
        <v>60</v>
      </c>
      <c r="F26" s="268">
        <f t="shared" si="1"/>
        <v>180</v>
      </c>
      <c r="G26" s="272">
        <f t="shared" si="2"/>
        <v>51.428571428571431</v>
      </c>
    </row>
    <row r="27" spans="1:7" ht="13.8" x14ac:dyDescent="0.25">
      <c r="A27" s="65" t="s">
        <v>59</v>
      </c>
      <c r="B27" s="66" t="s">
        <v>60</v>
      </c>
      <c r="C27" s="252">
        <v>2</v>
      </c>
      <c r="D27" s="270">
        <v>9.5050000000000008</v>
      </c>
      <c r="E27" s="271">
        <f t="shared" si="0"/>
        <v>19.010000000000002</v>
      </c>
      <c r="F27" s="268">
        <f t="shared" si="1"/>
        <v>57.03</v>
      </c>
      <c r="G27" s="272">
        <f t="shared" si="2"/>
        <v>16.294285714285714</v>
      </c>
    </row>
    <row r="28" spans="1:7" ht="13.8" x14ac:dyDescent="0.25">
      <c r="A28" s="65" t="s">
        <v>61</v>
      </c>
      <c r="B28" s="66" t="s">
        <v>62</v>
      </c>
      <c r="C28" s="252">
        <v>2</v>
      </c>
      <c r="D28" s="270">
        <v>12</v>
      </c>
      <c r="E28" s="271">
        <f t="shared" si="0"/>
        <v>24</v>
      </c>
      <c r="F28" s="268">
        <f t="shared" si="1"/>
        <v>72</v>
      </c>
      <c r="G28" s="272">
        <f t="shared" si="2"/>
        <v>20.571428571428573</v>
      </c>
    </row>
    <row r="29" spans="1:7" ht="13.8" x14ac:dyDescent="0.25">
      <c r="A29" s="65" t="s">
        <v>63</v>
      </c>
      <c r="B29" s="66" t="s">
        <v>62</v>
      </c>
      <c r="C29" s="252">
        <v>2</v>
      </c>
      <c r="D29" s="270">
        <v>30</v>
      </c>
      <c r="E29" s="271">
        <f t="shared" si="0"/>
        <v>60</v>
      </c>
      <c r="F29" s="268">
        <f t="shared" si="1"/>
        <v>180</v>
      </c>
      <c r="G29" s="272">
        <f t="shared" si="2"/>
        <v>51.428571428571431</v>
      </c>
    </row>
    <row r="30" spans="1:7" ht="13.8" x14ac:dyDescent="0.25">
      <c r="A30" s="65" t="s">
        <v>64</v>
      </c>
      <c r="B30" s="66" t="s">
        <v>42</v>
      </c>
      <c r="C30" s="252">
        <v>2</v>
      </c>
      <c r="D30" s="270">
        <v>0.5</v>
      </c>
      <c r="E30" s="271">
        <f t="shared" si="0"/>
        <v>1</v>
      </c>
      <c r="F30" s="268">
        <f t="shared" si="1"/>
        <v>3</v>
      </c>
      <c r="G30" s="272">
        <f t="shared" si="2"/>
        <v>0.8571428571428571</v>
      </c>
    </row>
    <row r="31" spans="1:7" ht="13.8" x14ac:dyDescent="0.25">
      <c r="A31" s="65" t="s">
        <v>65</v>
      </c>
      <c r="B31" s="66" t="s">
        <v>42</v>
      </c>
      <c r="C31" s="252">
        <v>2</v>
      </c>
      <c r="D31" s="270">
        <v>8</v>
      </c>
      <c r="E31" s="271">
        <f t="shared" si="0"/>
        <v>16</v>
      </c>
      <c r="F31" s="268">
        <f t="shared" si="1"/>
        <v>48</v>
      </c>
      <c r="G31" s="272">
        <f t="shared" si="2"/>
        <v>13.714285714285714</v>
      </c>
    </row>
    <row r="32" spans="1:7" ht="13.8" x14ac:dyDescent="0.25">
      <c r="A32" s="65" t="s">
        <v>66</v>
      </c>
      <c r="B32" s="66" t="s">
        <v>42</v>
      </c>
      <c r="C32" s="252">
        <v>2</v>
      </c>
      <c r="D32" s="270">
        <v>9</v>
      </c>
      <c r="E32" s="271">
        <f t="shared" si="0"/>
        <v>18</v>
      </c>
      <c r="F32" s="268">
        <f t="shared" si="1"/>
        <v>54</v>
      </c>
      <c r="G32" s="272">
        <f t="shared" si="2"/>
        <v>15.428571428571429</v>
      </c>
    </row>
    <row r="33" spans="1:7" ht="13.8" x14ac:dyDescent="0.25">
      <c r="A33" s="65" t="s">
        <v>67</v>
      </c>
      <c r="B33" s="66" t="s">
        <v>62</v>
      </c>
      <c r="C33" s="252">
        <v>2</v>
      </c>
      <c r="D33" s="270">
        <v>12</v>
      </c>
      <c r="E33" s="271">
        <f t="shared" si="0"/>
        <v>24</v>
      </c>
      <c r="F33" s="268">
        <f t="shared" si="1"/>
        <v>72</v>
      </c>
      <c r="G33" s="272">
        <f t="shared" si="2"/>
        <v>20.571428571428573</v>
      </c>
    </row>
    <row r="34" spans="1:7" ht="13.8" x14ac:dyDescent="0.25">
      <c r="A34" s="65" t="s">
        <v>68</v>
      </c>
      <c r="B34" s="66" t="s">
        <v>69</v>
      </c>
      <c r="C34" s="252">
        <v>2</v>
      </c>
      <c r="D34" s="270">
        <v>4</v>
      </c>
      <c r="E34" s="271">
        <f t="shared" si="0"/>
        <v>8</v>
      </c>
      <c r="F34" s="268">
        <f t="shared" si="1"/>
        <v>24</v>
      </c>
      <c r="G34" s="272">
        <f t="shared" si="2"/>
        <v>6.8571428571428568</v>
      </c>
    </row>
    <row r="35" spans="1:7" ht="13.8" x14ac:dyDescent="0.25">
      <c r="A35" s="65" t="s">
        <v>70</v>
      </c>
      <c r="B35" s="66" t="s">
        <v>42</v>
      </c>
      <c r="C35" s="252">
        <v>2</v>
      </c>
      <c r="D35" s="270">
        <v>5</v>
      </c>
      <c r="E35" s="271">
        <f t="shared" si="0"/>
        <v>10</v>
      </c>
      <c r="F35" s="268">
        <f t="shared" si="1"/>
        <v>30</v>
      </c>
      <c r="G35" s="272">
        <f t="shared" si="2"/>
        <v>8.5714285714285712</v>
      </c>
    </row>
    <row r="36" spans="1:7" ht="13.8" x14ac:dyDescent="0.25">
      <c r="A36" s="65" t="s">
        <v>71</v>
      </c>
      <c r="B36" s="66" t="s">
        <v>72</v>
      </c>
      <c r="C36" s="252">
        <v>2</v>
      </c>
      <c r="D36" s="270">
        <v>9</v>
      </c>
      <c r="E36" s="271">
        <f t="shared" si="0"/>
        <v>18</v>
      </c>
      <c r="F36" s="268">
        <f t="shared" si="1"/>
        <v>54</v>
      </c>
      <c r="G36" s="272">
        <f t="shared" si="2"/>
        <v>15.428571428571429</v>
      </c>
    </row>
    <row r="37" spans="1:7" ht="13.8" x14ac:dyDescent="0.25">
      <c r="A37" s="65" t="s">
        <v>73</v>
      </c>
      <c r="B37" s="66" t="s">
        <v>62</v>
      </c>
      <c r="C37" s="252">
        <v>2</v>
      </c>
      <c r="D37" s="270">
        <v>4.9000000000000004</v>
      </c>
      <c r="E37" s="271">
        <f t="shared" si="0"/>
        <v>9.8000000000000007</v>
      </c>
      <c r="F37" s="268">
        <f t="shared" si="1"/>
        <v>29.400000000000002</v>
      </c>
      <c r="G37" s="272">
        <f t="shared" si="2"/>
        <v>8.4</v>
      </c>
    </row>
    <row r="38" spans="1:7" ht="13.8" x14ac:dyDescent="0.25">
      <c r="A38" s="65" t="s">
        <v>74</v>
      </c>
      <c r="B38" s="66" t="s">
        <v>62</v>
      </c>
      <c r="C38" s="252">
        <v>2</v>
      </c>
      <c r="D38" s="270">
        <v>8</v>
      </c>
      <c r="E38" s="271">
        <f t="shared" si="0"/>
        <v>16</v>
      </c>
      <c r="F38" s="268">
        <f t="shared" si="1"/>
        <v>48</v>
      </c>
      <c r="G38" s="272">
        <f t="shared" si="2"/>
        <v>13.714285714285714</v>
      </c>
    </row>
    <row r="39" spans="1:7" ht="13.8" x14ac:dyDescent="0.25">
      <c r="A39" s="65" t="s">
        <v>75</v>
      </c>
      <c r="B39" s="66" t="s">
        <v>62</v>
      </c>
      <c r="C39" s="252">
        <v>2</v>
      </c>
      <c r="D39" s="270">
        <v>15</v>
      </c>
      <c r="E39" s="271">
        <f t="shared" si="0"/>
        <v>30</v>
      </c>
      <c r="F39" s="268">
        <f t="shared" si="1"/>
        <v>90</v>
      </c>
      <c r="G39" s="272">
        <f t="shared" si="2"/>
        <v>25.714285714285715</v>
      </c>
    </row>
    <row r="40" spans="1:7" ht="13.8" x14ac:dyDescent="0.25">
      <c r="A40" s="65" t="s">
        <v>76</v>
      </c>
      <c r="B40" s="66" t="s">
        <v>62</v>
      </c>
      <c r="C40" s="252">
        <v>2</v>
      </c>
      <c r="D40" s="270">
        <v>25</v>
      </c>
      <c r="E40" s="271">
        <f t="shared" si="0"/>
        <v>50</v>
      </c>
      <c r="F40" s="268">
        <f t="shared" si="1"/>
        <v>150</v>
      </c>
      <c r="G40" s="272">
        <f t="shared" si="2"/>
        <v>42.857142857142854</v>
      </c>
    </row>
    <row r="41" spans="1:7" ht="13.8" x14ac:dyDescent="0.25">
      <c r="A41" s="65" t="s">
        <v>77</v>
      </c>
      <c r="B41" s="66" t="s">
        <v>62</v>
      </c>
      <c r="C41" s="252">
        <v>2</v>
      </c>
      <c r="D41" s="270">
        <v>4</v>
      </c>
      <c r="E41" s="271">
        <f t="shared" si="0"/>
        <v>8</v>
      </c>
      <c r="F41" s="268">
        <f t="shared" si="1"/>
        <v>24</v>
      </c>
      <c r="G41" s="272">
        <f t="shared" si="2"/>
        <v>6.8571428571428568</v>
      </c>
    </row>
    <row r="42" spans="1:7" ht="13.8" x14ac:dyDescent="0.25">
      <c r="A42" s="65" t="s">
        <v>78</v>
      </c>
      <c r="B42" s="66" t="s">
        <v>62</v>
      </c>
      <c r="C42" s="252">
        <v>2</v>
      </c>
      <c r="D42" s="270">
        <v>15</v>
      </c>
      <c r="E42" s="271">
        <f t="shared" si="0"/>
        <v>30</v>
      </c>
      <c r="F42" s="268">
        <f t="shared" si="1"/>
        <v>90</v>
      </c>
      <c r="G42" s="272">
        <f t="shared" si="2"/>
        <v>25.714285714285715</v>
      </c>
    </row>
    <row r="43" spans="1:7" ht="13.8" x14ac:dyDescent="0.25">
      <c r="A43" s="67" t="s">
        <v>79</v>
      </c>
      <c r="B43" s="66" t="s">
        <v>62</v>
      </c>
      <c r="C43" s="252">
        <v>2</v>
      </c>
      <c r="D43" s="270">
        <v>18</v>
      </c>
      <c r="E43" s="270">
        <f t="shared" si="0"/>
        <v>36</v>
      </c>
      <c r="F43" s="268">
        <f t="shared" si="1"/>
        <v>108</v>
      </c>
      <c r="G43" s="272">
        <f t="shared" si="2"/>
        <v>30.857142857142858</v>
      </c>
    </row>
    <row r="44" spans="1:7" ht="13.8" x14ac:dyDescent="0.25">
      <c r="A44" s="67" t="s">
        <v>80</v>
      </c>
      <c r="B44" s="66" t="s">
        <v>62</v>
      </c>
      <c r="C44" s="252">
        <v>2</v>
      </c>
      <c r="D44" s="270">
        <v>10</v>
      </c>
      <c r="E44" s="270">
        <f t="shared" si="0"/>
        <v>20</v>
      </c>
      <c r="F44" s="268">
        <f t="shared" si="1"/>
        <v>60</v>
      </c>
      <c r="G44" s="272">
        <f t="shared" si="2"/>
        <v>17.142857142857142</v>
      </c>
    </row>
    <row r="45" spans="1:7" ht="14.4" thickBot="1" x14ac:dyDescent="0.3">
      <c r="A45" s="68" t="s">
        <v>81</v>
      </c>
      <c r="B45" s="300" t="s">
        <v>42</v>
      </c>
      <c r="C45" s="303">
        <v>2</v>
      </c>
      <c r="D45" s="301">
        <v>15</v>
      </c>
      <c r="E45" s="273">
        <f t="shared" si="0"/>
        <v>30</v>
      </c>
      <c r="F45" s="268">
        <f t="shared" si="1"/>
        <v>90</v>
      </c>
      <c r="G45" s="275">
        <f t="shared" si="2"/>
        <v>25.714285714285715</v>
      </c>
    </row>
    <row r="46" spans="1:7" ht="14.4" thickBot="1" x14ac:dyDescent="0.35">
      <c r="A46" s="69"/>
      <c r="B46" s="69"/>
      <c r="C46" s="255"/>
      <c r="D46" s="276"/>
      <c r="E46" s="276"/>
      <c r="F46" s="277">
        <f>SUM(F12:F45)</f>
        <v>2007.63</v>
      </c>
      <c r="G46" s="277">
        <f>SUM(G12:G45)</f>
        <v>573.60857142857128</v>
      </c>
    </row>
    <row r="47" spans="1:7" ht="14.4" x14ac:dyDescent="0.3">
      <c r="A47" s="38"/>
      <c r="B47" s="38"/>
      <c r="C47" s="251"/>
      <c r="D47" s="40"/>
      <c r="E47" s="40"/>
      <c r="F47" s="278"/>
      <c r="G47" s="278"/>
    </row>
    <row r="48" spans="1:7" ht="15" thickBot="1" x14ac:dyDescent="0.35">
      <c r="A48" s="38"/>
      <c r="B48" s="38"/>
      <c r="C48" s="251"/>
      <c r="D48" s="40"/>
      <c r="E48" s="40"/>
      <c r="F48" s="278"/>
      <c r="G48" s="278"/>
    </row>
    <row r="49" spans="1:7" ht="30.75" customHeight="1" thickBot="1" x14ac:dyDescent="0.3">
      <c r="A49" s="77" t="s">
        <v>35</v>
      </c>
      <c r="B49" s="229" t="s">
        <v>11</v>
      </c>
      <c r="C49" s="229" t="s">
        <v>6</v>
      </c>
      <c r="D49" s="229" t="s">
        <v>82</v>
      </c>
      <c r="E49" s="229" t="s">
        <v>37</v>
      </c>
      <c r="F49" s="229" t="s">
        <v>38</v>
      </c>
      <c r="G49" s="229" t="s">
        <v>39</v>
      </c>
    </row>
    <row r="50" spans="1:7" ht="14.4" thickBot="1" x14ac:dyDescent="0.3">
      <c r="A50" s="78" t="s">
        <v>33</v>
      </c>
      <c r="B50" s="230"/>
      <c r="C50" s="230"/>
      <c r="D50" s="230"/>
      <c r="E50" s="230"/>
      <c r="F50" s="230"/>
      <c r="G50" s="230"/>
    </row>
    <row r="51" spans="1:7" ht="13.8" x14ac:dyDescent="0.25">
      <c r="A51" s="65" t="s">
        <v>83</v>
      </c>
      <c r="B51" s="64" t="s">
        <v>84</v>
      </c>
      <c r="C51" s="252">
        <v>0</v>
      </c>
      <c r="D51" s="266">
        <v>1500</v>
      </c>
      <c r="E51" s="267">
        <f>+C51*D51</f>
        <v>0</v>
      </c>
      <c r="F51" s="268">
        <f>+E51*1</f>
        <v>0</v>
      </c>
      <c r="G51" s="269">
        <f>+F51/3.5</f>
        <v>0</v>
      </c>
    </row>
    <row r="52" spans="1:7" ht="14.4" thickBot="1" x14ac:dyDescent="0.3">
      <c r="A52" s="79" t="s">
        <v>85</v>
      </c>
      <c r="B52" s="80" t="s">
        <v>42</v>
      </c>
      <c r="C52" s="256">
        <v>0</v>
      </c>
      <c r="D52" s="279">
        <v>240</v>
      </c>
      <c r="E52" s="280">
        <f>+C52*D52</f>
        <v>0</v>
      </c>
      <c r="F52" s="281">
        <f>+E52*1</f>
        <v>0</v>
      </c>
      <c r="G52" s="282">
        <f>+F52/3.5</f>
        <v>0</v>
      </c>
    </row>
    <row r="53" spans="1:7" ht="14.4" thickBot="1" x14ac:dyDescent="0.35">
      <c r="A53" s="69"/>
      <c r="B53" s="69"/>
      <c r="C53" s="255"/>
      <c r="D53" s="276"/>
      <c r="E53" s="276"/>
      <c r="F53" s="283">
        <f>SUM(F51:F52)</f>
        <v>0</v>
      </c>
      <c r="G53" s="283">
        <f>SUM(G51:G52)</f>
        <v>0</v>
      </c>
    </row>
    <row r="54" spans="1:7" ht="14.4" thickBot="1" x14ac:dyDescent="0.35">
      <c r="A54" s="69"/>
      <c r="B54" s="69"/>
      <c r="C54" s="255"/>
      <c r="D54" s="276"/>
      <c r="E54" s="276"/>
      <c r="F54" s="289"/>
      <c r="G54" s="289"/>
    </row>
    <row r="55" spans="1:7" ht="14.4" thickBot="1" x14ac:dyDescent="0.3">
      <c r="A55" s="77" t="s">
        <v>35</v>
      </c>
      <c r="B55" s="229" t="s">
        <v>11</v>
      </c>
      <c r="C55" s="229" t="s">
        <v>6</v>
      </c>
      <c r="D55" s="229" t="s">
        <v>82</v>
      </c>
      <c r="E55" s="229" t="s">
        <v>37</v>
      </c>
      <c r="F55" s="229" t="s">
        <v>38</v>
      </c>
      <c r="G55" s="229" t="s">
        <v>39</v>
      </c>
    </row>
    <row r="56" spans="1:7" ht="14.4" thickBot="1" x14ac:dyDescent="0.3">
      <c r="A56" s="320" t="s">
        <v>205</v>
      </c>
      <c r="B56" s="321"/>
      <c r="C56" s="321"/>
      <c r="D56" s="321"/>
      <c r="E56" s="321"/>
      <c r="F56" s="321"/>
      <c r="G56" s="321"/>
    </row>
    <row r="57" spans="1:7" ht="13.8" x14ac:dyDescent="0.25">
      <c r="A57" s="322" t="s">
        <v>206</v>
      </c>
      <c r="B57" s="323" t="s">
        <v>84</v>
      </c>
      <c r="C57" s="302">
        <v>2</v>
      </c>
      <c r="D57" s="324">
        <v>2000</v>
      </c>
      <c r="E57" s="325">
        <f>+C57*D57</f>
        <v>4000</v>
      </c>
      <c r="F57" s="326">
        <f>+E57*4</f>
        <v>16000</v>
      </c>
      <c r="G57" s="327">
        <f>+F57/3.5</f>
        <v>4571.4285714285716</v>
      </c>
    </row>
    <row r="58" spans="1:7" ht="13.8" x14ac:dyDescent="0.25">
      <c r="A58" s="316" t="s">
        <v>207</v>
      </c>
      <c r="B58" s="317" t="s">
        <v>42</v>
      </c>
      <c r="C58" s="318">
        <v>2</v>
      </c>
      <c r="D58" s="285">
        <v>300</v>
      </c>
      <c r="E58" s="319">
        <f>+C58*D58</f>
        <v>600</v>
      </c>
      <c r="F58" s="274">
        <f>+E58*4</f>
        <v>2400</v>
      </c>
      <c r="G58" s="275">
        <f>+F58/3.5</f>
        <v>685.71428571428567</v>
      </c>
    </row>
    <row r="59" spans="1:7" ht="13.8" x14ac:dyDescent="0.25">
      <c r="A59" s="65" t="s">
        <v>217</v>
      </c>
      <c r="B59" s="66" t="s">
        <v>216</v>
      </c>
      <c r="C59" s="253">
        <v>1</v>
      </c>
      <c r="D59" s="270">
        <v>2800</v>
      </c>
      <c r="E59" s="270">
        <v>2800</v>
      </c>
      <c r="F59" s="270">
        <f>+E59*1</f>
        <v>2800</v>
      </c>
      <c r="G59" s="271"/>
    </row>
    <row r="60" spans="1:7" ht="13.8" x14ac:dyDescent="0.25">
      <c r="A60" s="65" t="s">
        <v>218</v>
      </c>
      <c r="B60" s="66" t="s">
        <v>216</v>
      </c>
      <c r="C60" s="253">
        <v>2</v>
      </c>
      <c r="D60" s="270">
        <v>300</v>
      </c>
      <c r="E60" s="270">
        <f>+C60*D60</f>
        <v>600</v>
      </c>
      <c r="F60" s="270">
        <f>+E60*4</f>
        <v>2400</v>
      </c>
      <c r="G60" s="271"/>
    </row>
    <row r="61" spans="1:7" ht="28.2" thickBot="1" x14ac:dyDescent="0.3">
      <c r="A61" s="328" t="s">
        <v>215</v>
      </c>
      <c r="B61" s="80" t="s">
        <v>216</v>
      </c>
      <c r="C61" s="256">
        <v>1</v>
      </c>
      <c r="D61" s="279">
        <v>3800</v>
      </c>
      <c r="E61" s="279">
        <f>+C61*D61</f>
        <v>3800</v>
      </c>
      <c r="F61" s="279">
        <f>+E61*3</f>
        <v>11400</v>
      </c>
      <c r="G61" s="280"/>
    </row>
    <row r="62" spans="1:7" ht="15" thickBot="1" x14ac:dyDescent="0.35">
      <c r="A62"/>
      <c r="B62" s="69"/>
      <c r="C62" s="255"/>
      <c r="D62" s="276"/>
      <c r="E62" s="276"/>
      <c r="F62" s="283">
        <f>SUM(F57:F58)</f>
        <v>18400</v>
      </c>
      <c r="G62" s="283">
        <f>SUM(G57:G58)</f>
        <v>5257.1428571428569</v>
      </c>
    </row>
    <row r="63" spans="1:7" ht="13.8" x14ac:dyDescent="0.3">
      <c r="A63" s="69"/>
      <c r="B63" s="69"/>
      <c r="C63" s="255"/>
      <c r="D63" s="276"/>
      <c r="E63" s="276"/>
      <c r="F63" s="284"/>
      <c r="G63" s="284"/>
    </row>
    <row r="64" spans="1:7" ht="14.4" thickBot="1" x14ac:dyDescent="0.35">
      <c r="A64" s="69"/>
      <c r="B64" s="69"/>
      <c r="C64" s="255"/>
      <c r="D64" s="276"/>
      <c r="E64" s="276"/>
      <c r="F64" s="284"/>
      <c r="G64" s="284"/>
    </row>
    <row r="65" spans="1:7" ht="30.75" customHeight="1" thickBot="1" x14ac:dyDescent="0.3">
      <c r="A65" s="59" t="s">
        <v>35</v>
      </c>
      <c r="B65" s="231" t="s">
        <v>11</v>
      </c>
      <c r="C65" s="229" t="s">
        <v>6</v>
      </c>
      <c r="D65" s="229" t="s">
        <v>82</v>
      </c>
      <c r="E65" s="233" t="s">
        <v>37</v>
      </c>
      <c r="F65" s="229" t="s">
        <v>38</v>
      </c>
      <c r="G65" s="229" t="s">
        <v>39</v>
      </c>
    </row>
    <row r="66" spans="1:7" ht="14.4" thickBot="1" x14ac:dyDescent="0.3">
      <c r="A66" s="81" t="s">
        <v>86</v>
      </c>
      <c r="B66" s="232"/>
      <c r="C66" s="230"/>
      <c r="D66" s="230"/>
      <c r="E66" s="234"/>
      <c r="F66" s="230"/>
      <c r="G66" s="230"/>
    </row>
    <row r="67" spans="1:7" ht="13.8" x14ac:dyDescent="0.25">
      <c r="A67" s="63" t="s">
        <v>87</v>
      </c>
      <c r="B67" s="64" t="s">
        <v>42</v>
      </c>
      <c r="C67" s="257">
        <v>2</v>
      </c>
      <c r="D67" s="266">
        <v>30</v>
      </c>
      <c r="E67" s="267">
        <f>+C67*D67</f>
        <v>60</v>
      </c>
      <c r="F67" s="269">
        <f>+E67*2</f>
        <v>120</v>
      </c>
      <c r="G67" s="269">
        <f>+F67/3.5</f>
        <v>34.285714285714285</v>
      </c>
    </row>
    <row r="68" spans="1:7" ht="13.8" x14ac:dyDescent="0.25">
      <c r="A68" s="65" t="s">
        <v>88</v>
      </c>
      <c r="B68" s="66" t="s">
        <v>42</v>
      </c>
      <c r="C68" s="257">
        <v>2</v>
      </c>
      <c r="D68" s="270">
        <v>24</v>
      </c>
      <c r="E68" s="271">
        <f t="shared" ref="E68:E104" si="3">+C68*D68</f>
        <v>48</v>
      </c>
      <c r="F68" s="272">
        <f>+E68*2</f>
        <v>96</v>
      </c>
      <c r="G68" s="272">
        <f t="shared" ref="G68:G104" si="4">+F68/3.5</f>
        <v>27.428571428571427</v>
      </c>
    </row>
    <row r="69" spans="1:7" ht="13.8" x14ac:dyDescent="0.25">
      <c r="A69" s="65" t="s">
        <v>89</v>
      </c>
      <c r="B69" s="66" t="s">
        <v>42</v>
      </c>
      <c r="C69" s="257">
        <v>2</v>
      </c>
      <c r="D69" s="270">
        <v>18</v>
      </c>
      <c r="E69" s="271">
        <f t="shared" si="3"/>
        <v>36</v>
      </c>
      <c r="F69" s="272">
        <f t="shared" ref="F69:F104" si="5">+E69*2</f>
        <v>72</v>
      </c>
      <c r="G69" s="272">
        <f t="shared" si="4"/>
        <v>20.571428571428573</v>
      </c>
    </row>
    <row r="70" spans="1:7" ht="13.8" x14ac:dyDescent="0.25">
      <c r="A70" s="65" t="s">
        <v>190</v>
      </c>
      <c r="B70" s="66" t="s">
        <v>42</v>
      </c>
      <c r="C70" s="257">
        <v>2</v>
      </c>
      <c r="D70" s="270">
        <v>165</v>
      </c>
      <c r="E70" s="271">
        <f t="shared" ref="E70" si="6">+C70*D70</f>
        <v>330</v>
      </c>
      <c r="F70" s="272">
        <f t="shared" ref="F70" si="7">+E70*2</f>
        <v>660</v>
      </c>
      <c r="G70" s="272">
        <f t="shared" ref="G70" si="8">+F70/3.5</f>
        <v>188.57142857142858</v>
      </c>
    </row>
    <row r="71" spans="1:7" ht="13.8" x14ac:dyDescent="0.25">
      <c r="A71" s="65" t="s">
        <v>90</v>
      </c>
      <c r="B71" s="66" t="s">
        <v>42</v>
      </c>
      <c r="C71" s="257">
        <v>2</v>
      </c>
      <c r="D71" s="270">
        <v>24</v>
      </c>
      <c r="E71" s="271">
        <f t="shared" si="3"/>
        <v>48</v>
      </c>
      <c r="F71" s="272">
        <f t="shared" si="5"/>
        <v>96</v>
      </c>
      <c r="G71" s="272">
        <f t="shared" si="4"/>
        <v>27.428571428571427</v>
      </c>
    </row>
    <row r="72" spans="1:7" ht="13.8" x14ac:dyDescent="0.25">
      <c r="A72" s="65" t="s">
        <v>91</v>
      </c>
      <c r="B72" s="66" t="s">
        <v>42</v>
      </c>
      <c r="C72" s="254">
        <v>2</v>
      </c>
      <c r="D72" s="270">
        <v>16</v>
      </c>
      <c r="E72" s="271">
        <f t="shared" si="3"/>
        <v>32</v>
      </c>
      <c r="F72" s="272">
        <f t="shared" si="5"/>
        <v>64</v>
      </c>
      <c r="G72" s="272">
        <f t="shared" si="4"/>
        <v>18.285714285714285</v>
      </c>
    </row>
    <row r="73" spans="1:7" ht="13.8" x14ac:dyDescent="0.25">
      <c r="A73" s="65" t="s">
        <v>92</v>
      </c>
      <c r="B73" s="66" t="s">
        <v>42</v>
      </c>
      <c r="C73" s="254">
        <v>4</v>
      </c>
      <c r="D73" s="270">
        <v>18.5</v>
      </c>
      <c r="E73" s="271">
        <f t="shared" si="3"/>
        <v>74</v>
      </c>
      <c r="F73" s="272">
        <f>+E73*2</f>
        <v>148</v>
      </c>
      <c r="G73" s="272">
        <f t="shared" si="4"/>
        <v>42.285714285714285</v>
      </c>
    </row>
    <row r="74" spans="1:7" ht="13.8" x14ac:dyDescent="0.25">
      <c r="A74" s="82" t="s">
        <v>93</v>
      </c>
      <c r="B74" s="66" t="s">
        <v>42</v>
      </c>
      <c r="C74" s="254">
        <v>4</v>
      </c>
      <c r="D74" s="270">
        <v>61</v>
      </c>
      <c r="E74" s="271">
        <f t="shared" si="3"/>
        <v>244</v>
      </c>
      <c r="F74" s="272">
        <f t="shared" si="5"/>
        <v>488</v>
      </c>
      <c r="G74" s="272">
        <f t="shared" si="4"/>
        <v>139.42857142857142</v>
      </c>
    </row>
    <row r="75" spans="1:7" ht="13.8" x14ac:dyDescent="0.25">
      <c r="A75" s="82" t="s">
        <v>94</v>
      </c>
      <c r="B75" s="66" t="s">
        <v>42</v>
      </c>
      <c r="C75" s="254">
        <v>6</v>
      </c>
      <c r="D75" s="270">
        <v>29</v>
      </c>
      <c r="E75" s="271">
        <f t="shared" si="3"/>
        <v>174</v>
      </c>
      <c r="F75" s="272">
        <f t="shared" si="5"/>
        <v>348</v>
      </c>
      <c r="G75" s="272">
        <f t="shared" si="4"/>
        <v>99.428571428571431</v>
      </c>
    </row>
    <row r="76" spans="1:7" ht="13.8" x14ac:dyDescent="0.25">
      <c r="A76" s="82" t="s">
        <v>95</v>
      </c>
      <c r="B76" s="66" t="s">
        <v>42</v>
      </c>
      <c r="C76" s="254">
        <v>6</v>
      </c>
      <c r="D76" s="270">
        <v>32</v>
      </c>
      <c r="E76" s="271">
        <f t="shared" si="3"/>
        <v>192</v>
      </c>
      <c r="F76" s="272">
        <f t="shared" si="5"/>
        <v>384</v>
      </c>
      <c r="G76" s="272">
        <f t="shared" si="4"/>
        <v>109.71428571428571</v>
      </c>
    </row>
    <row r="77" spans="1:7" ht="13.8" x14ac:dyDescent="0.25">
      <c r="A77" s="82" t="s">
        <v>96</v>
      </c>
      <c r="B77" s="66" t="s">
        <v>42</v>
      </c>
      <c r="C77" s="254">
        <v>6</v>
      </c>
      <c r="D77" s="270">
        <v>32</v>
      </c>
      <c r="E77" s="271">
        <f t="shared" si="3"/>
        <v>192</v>
      </c>
      <c r="F77" s="272">
        <f t="shared" si="5"/>
        <v>384</v>
      </c>
      <c r="G77" s="272">
        <f t="shared" si="4"/>
        <v>109.71428571428571</v>
      </c>
    </row>
    <row r="78" spans="1:7" ht="13.8" x14ac:dyDescent="0.25">
      <c r="A78" s="82" t="s">
        <v>97</v>
      </c>
      <c r="B78" s="66" t="s">
        <v>42</v>
      </c>
      <c r="C78" s="254">
        <v>0</v>
      </c>
      <c r="D78" s="270">
        <v>12</v>
      </c>
      <c r="E78" s="271">
        <f t="shared" si="3"/>
        <v>0</v>
      </c>
      <c r="F78" s="272">
        <f t="shared" si="5"/>
        <v>0</v>
      </c>
      <c r="G78" s="272">
        <f t="shared" si="4"/>
        <v>0</v>
      </c>
    </row>
    <row r="79" spans="1:7" ht="13.8" x14ac:dyDescent="0.25">
      <c r="A79" s="82" t="s">
        <v>98</v>
      </c>
      <c r="B79" s="66" t="s">
        <v>42</v>
      </c>
      <c r="C79" s="254">
        <v>0</v>
      </c>
      <c r="D79" s="270">
        <v>11</v>
      </c>
      <c r="E79" s="271">
        <f t="shared" si="3"/>
        <v>0</v>
      </c>
      <c r="F79" s="272">
        <f t="shared" si="5"/>
        <v>0</v>
      </c>
      <c r="G79" s="272">
        <f t="shared" si="4"/>
        <v>0</v>
      </c>
    </row>
    <row r="80" spans="1:7" ht="13.8" x14ac:dyDescent="0.25">
      <c r="A80" s="82" t="s">
        <v>99</v>
      </c>
      <c r="B80" s="66" t="s">
        <v>47</v>
      </c>
      <c r="C80" s="254">
        <v>0</v>
      </c>
      <c r="D80" s="270">
        <v>16</v>
      </c>
      <c r="E80" s="271">
        <f t="shared" si="3"/>
        <v>0</v>
      </c>
      <c r="F80" s="272">
        <f t="shared" si="5"/>
        <v>0</v>
      </c>
      <c r="G80" s="272">
        <f t="shared" si="4"/>
        <v>0</v>
      </c>
    </row>
    <row r="81" spans="1:7" ht="13.8" x14ac:dyDescent="0.25">
      <c r="A81" s="82" t="s">
        <v>100</v>
      </c>
      <c r="B81" s="66" t="s">
        <v>42</v>
      </c>
      <c r="C81" s="254">
        <v>0</v>
      </c>
      <c r="D81" s="270">
        <v>9</v>
      </c>
      <c r="E81" s="271">
        <f t="shared" si="3"/>
        <v>0</v>
      </c>
      <c r="F81" s="272">
        <f t="shared" si="5"/>
        <v>0</v>
      </c>
      <c r="G81" s="272">
        <f t="shared" si="4"/>
        <v>0</v>
      </c>
    </row>
    <row r="82" spans="1:7" ht="13.8" x14ac:dyDescent="0.25">
      <c r="A82" s="82" t="s">
        <v>101</v>
      </c>
      <c r="B82" s="66" t="s">
        <v>42</v>
      </c>
      <c r="C82" s="254">
        <v>4</v>
      </c>
      <c r="D82" s="270">
        <v>8.3000000000000007</v>
      </c>
      <c r="E82" s="271">
        <f t="shared" si="3"/>
        <v>33.200000000000003</v>
      </c>
      <c r="F82" s="272">
        <f t="shared" si="5"/>
        <v>66.400000000000006</v>
      </c>
      <c r="G82" s="272">
        <f t="shared" si="4"/>
        <v>18.971428571428572</v>
      </c>
    </row>
    <row r="83" spans="1:7" ht="13.8" x14ac:dyDescent="0.25">
      <c r="A83" s="82" t="s">
        <v>102</v>
      </c>
      <c r="B83" s="66" t="s">
        <v>42</v>
      </c>
      <c r="C83" s="254">
        <v>4</v>
      </c>
      <c r="D83" s="270">
        <v>8.3000000000000007</v>
      </c>
      <c r="E83" s="271">
        <f t="shared" si="3"/>
        <v>33.200000000000003</v>
      </c>
      <c r="F83" s="272">
        <f t="shared" si="5"/>
        <v>66.400000000000006</v>
      </c>
      <c r="G83" s="272">
        <f t="shared" si="4"/>
        <v>18.971428571428572</v>
      </c>
    </row>
    <row r="84" spans="1:7" ht="13.8" x14ac:dyDescent="0.25">
      <c r="A84" s="82" t="s">
        <v>157</v>
      </c>
      <c r="B84" s="66" t="s">
        <v>42</v>
      </c>
      <c r="C84" s="254">
        <v>4</v>
      </c>
      <c r="D84" s="270">
        <v>150</v>
      </c>
      <c r="E84" s="271">
        <f t="shared" si="3"/>
        <v>600</v>
      </c>
      <c r="F84" s="272">
        <f t="shared" si="5"/>
        <v>1200</v>
      </c>
      <c r="G84" s="272">
        <f t="shared" si="4"/>
        <v>342.85714285714283</v>
      </c>
    </row>
    <row r="85" spans="1:7" ht="13.8" x14ac:dyDescent="0.25">
      <c r="A85" s="82" t="s">
        <v>103</v>
      </c>
      <c r="B85" s="66" t="s">
        <v>47</v>
      </c>
      <c r="C85" s="254">
        <v>4</v>
      </c>
      <c r="D85" s="270">
        <v>8.3000000000000007</v>
      </c>
      <c r="E85" s="271">
        <f t="shared" si="3"/>
        <v>33.200000000000003</v>
      </c>
      <c r="F85" s="272">
        <f t="shared" si="5"/>
        <v>66.400000000000006</v>
      </c>
      <c r="G85" s="272">
        <f t="shared" si="4"/>
        <v>18.971428571428572</v>
      </c>
    </row>
    <row r="86" spans="1:7" ht="13.8" x14ac:dyDescent="0.25">
      <c r="A86" s="82" t="s">
        <v>104</v>
      </c>
      <c r="B86" s="66" t="s">
        <v>47</v>
      </c>
      <c r="C86" s="254">
        <v>0</v>
      </c>
      <c r="D86" s="270">
        <v>25</v>
      </c>
      <c r="E86" s="271">
        <f t="shared" si="3"/>
        <v>0</v>
      </c>
      <c r="F86" s="272">
        <f>+E86*1</f>
        <v>0</v>
      </c>
      <c r="G86" s="272">
        <f t="shared" si="4"/>
        <v>0</v>
      </c>
    </row>
    <row r="87" spans="1:7" ht="13.8" x14ac:dyDescent="0.25">
      <c r="A87" s="82" t="s">
        <v>105</v>
      </c>
      <c r="B87" s="66" t="s">
        <v>42</v>
      </c>
      <c r="C87" s="254">
        <v>4</v>
      </c>
      <c r="D87" s="270">
        <v>6</v>
      </c>
      <c r="E87" s="271">
        <f t="shared" si="3"/>
        <v>24</v>
      </c>
      <c r="F87" s="272">
        <f t="shared" si="5"/>
        <v>48</v>
      </c>
      <c r="G87" s="272">
        <f t="shared" si="4"/>
        <v>13.714285714285714</v>
      </c>
    </row>
    <row r="88" spans="1:7" ht="13.8" x14ac:dyDescent="0.25">
      <c r="A88" s="82" t="s">
        <v>106</v>
      </c>
      <c r="B88" s="66" t="s">
        <v>42</v>
      </c>
      <c r="C88" s="254">
        <v>4</v>
      </c>
      <c r="D88" s="270">
        <v>1.006</v>
      </c>
      <c r="E88" s="271">
        <f t="shared" si="3"/>
        <v>4.024</v>
      </c>
      <c r="F88" s="272">
        <f t="shared" si="5"/>
        <v>8.048</v>
      </c>
      <c r="G88" s="272">
        <f t="shared" si="4"/>
        <v>2.2994285714285714</v>
      </c>
    </row>
    <row r="89" spans="1:7" ht="13.8" x14ac:dyDescent="0.25">
      <c r="A89" s="82" t="s">
        <v>155</v>
      </c>
      <c r="B89" s="66" t="s">
        <v>42</v>
      </c>
      <c r="C89" s="254">
        <v>0</v>
      </c>
      <c r="D89" s="270">
        <v>50</v>
      </c>
      <c r="E89" s="271">
        <f t="shared" si="3"/>
        <v>0</v>
      </c>
      <c r="F89" s="272">
        <f t="shared" si="5"/>
        <v>0</v>
      </c>
      <c r="G89" s="272">
        <f t="shared" si="4"/>
        <v>0</v>
      </c>
    </row>
    <row r="90" spans="1:7" ht="13.8" x14ac:dyDescent="0.25">
      <c r="A90" s="82" t="s">
        <v>154</v>
      </c>
      <c r="B90" s="66" t="s">
        <v>42</v>
      </c>
      <c r="C90" s="254">
        <v>4</v>
      </c>
      <c r="D90" s="270">
        <v>1</v>
      </c>
      <c r="E90" s="271">
        <f t="shared" si="3"/>
        <v>4</v>
      </c>
      <c r="F90" s="272">
        <f t="shared" si="5"/>
        <v>8</v>
      </c>
      <c r="G90" s="272">
        <f t="shared" si="4"/>
        <v>2.2857142857142856</v>
      </c>
    </row>
    <row r="91" spans="1:7" ht="13.8" x14ac:dyDescent="0.25">
      <c r="A91" s="82" t="s">
        <v>107</v>
      </c>
      <c r="B91" s="66" t="s">
        <v>42</v>
      </c>
      <c r="C91" s="254">
        <v>4</v>
      </c>
      <c r="D91" s="270">
        <v>5</v>
      </c>
      <c r="E91" s="271">
        <f t="shared" si="3"/>
        <v>20</v>
      </c>
      <c r="F91" s="272">
        <f>+E91*1</f>
        <v>20</v>
      </c>
      <c r="G91" s="272">
        <f t="shared" si="4"/>
        <v>5.7142857142857144</v>
      </c>
    </row>
    <row r="92" spans="1:7" ht="13.8" x14ac:dyDescent="0.25">
      <c r="A92" s="82" t="s">
        <v>108</v>
      </c>
      <c r="B92" s="66" t="s">
        <v>42</v>
      </c>
      <c r="C92" s="254">
        <v>4</v>
      </c>
      <c r="D92" s="270">
        <v>25</v>
      </c>
      <c r="E92" s="271">
        <f t="shared" si="3"/>
        <v>100</v>
      </c>
      <c r="F92" s="272">
        <f>+E92*1</f>
        <v>100</v>
      </c>
      <c r="G92" s="272">
        <f t="shared" si="4"/>
        <v>28.571428571428573</v>
      </c>
    </row>
    <row r="93" spans="1:7" ht="13.8" x14ac:dyDescent="0.25">
      <c r="A93" s="82" t="s">
        <v>109</v>
      </c>
      <c r="B93" s="66" t="s">
        <v>42</v>
      </c>
      <c r="C93" s="254">
        <v>4</v>
      </c>
      <c r="D93" s="270">
        <v>16</v>
      </c>
      <c r="E93" s="271">
        <f t="shared" si="3"/>
        <v>64</v>
      </c>
      <c r="F93" s="272">
        <f>+E93*2</f>
        <v>128</v>
      </c>
      <c r="G93" s="272">
        <f t="shared" si="4"/>
        <v>36.571428571428569</v>
      </c>
    </row>
    <row r="94" spans="1:7" ht="13.8" x14ac:dyDescent="0.25">
      <c r="A94" s="82" t="s">
        <v>110</v>
      </c>
      <c r="B94" s="66" t="s">
        <v>42</v>
      </c>
      <c r="C94" s="254">
        <v>4</v>
      </c>
      <c r="D94" s="270">
        <v>42</v>
      </c>
      <c r="E94" s="271">
        <f t="shared" si="3"/>
        <v>168</v>
      </c>
      <c r="F94" s="272">
        <f>+E94*1</f>
        <v>168</v>
      </c>
      <c r="G94" s="272">
        <f t="shared" si="4"/>
        <v>48</v>
      </c>
    </row>
    <row r="95" spans="1:7" ht="13.8" x14ac:dyDescent="0.25">
      <c r="A95" s="82" t="s">
        <v>111</v>
      </c>
      <c r="B95" s="66" t="s">
        <v>42</v>
      </c>
      <c r="C95" s="254">
        <v>2</v>
      </c>
      <c r="D95" s="270">
        <v>14</v>
      </c>
      <c r="E95" s="271">
        <f t="shared" si="3"/>
        <v>28</v>
      </c>
      <c r="F95" s="272">
        <f>+E95*1</f>
        <v>28</v>
      </c>
      <c r="G95" s="272">
        <f t="shared" si="4"/>
        <v>8</v>
      </c>
    </row>
    <row r="96" spans="1:7" ht="13.8" x14ac:dyDescent="0.25">
      <c r="A96" s="65" t="s">
        <v>112</v>
      </c>
      <c r="B96" s="66" t="s">
        <v>42</v>
      </c>
      <c r="C96" s="254">
        <v>3</v>
      </c>
      <c r="D96" s="270">
        <v>155</v>
      </c>
      <c r="E96" s="271">
        <f t="shared" si="3"/>
        <v>465</v>
      </c>
      <c r="F96" s="272">
        <f>+E96*2</f>
        <v>930</v>
      </c>
      <c r="G96" s="272">
        <f t="shared" si="4"/>
        <v>265.71428571428572</v>
      </c>
    </row>
    <row r="97" spans="1:7" ht="13.8" x14ac:dyDescent="0.25">
      <c r="A97" s="65" t="s">
        <v>113</v>
      </c>
      <c r="B97" s="66" t="s">
        <v>42</v>
      </c>
      <c r="C97" s="254">
        <v>4</v>
      </c>
      <c r="D97" s="270">
        <v>35</v>
      </c>
      <c r="E97" s="271">
        <f t="shared" si="3"/>
        <v>140</v>
      </c>
      <c r="F97" s="272">
        <f t="shared" si="5"/>
        <v>280</v>
      </c>
      <c r="G97" s="272">
        <f t="shared" si="4"/>
        <v>80</v>
      </c>
    </row>
    <row r="98" spans="1:7" ht="13.8" x14ac:dyDescent="0.25">
      <c r="A98" s="65" t="s">
        <v>114</v>
      </c>
      <c r="B98" s="66" t="s">
        <v>42</v>
      </c>
      <c r="C98" s="254">
        <v>3</v>
      </c>
      <c r="D98" s="270">
        <v>80</v>
      </c>
      <c r="E98" s="271">
        <f t="shared" si="3"/>
        <v>240</v>
      </c>
      <c r="F98" s="272">
        <f>+E98*1</f>
        <v>240</v>
      </c>
      <c r="G98" s="272">
        <f t="shared" si="4"/>
        <v>68.571428571428569</v>
      </c>
    </row>
    <row r="99" spans="1:7" ht="13.8" x14ac:dyDescent="0.25">
      <c r="A99" s="83" t="s">
        <v>115</v>
      </c>
      <c r="B99" s="84" t="s">
        <v>42</v>
      </c>
      <c r="C99" s="254">
        <v>4</v>
      </c>
      <c r="D99" s="270">
        <v>35</v>
      </c>
      <c r="E99" s="271">
        <f t="shared" si="3"/>
        <v>140</v>
      </c>
      <c r="F99" s="272">
        <f>+E99*4</f>
        <v>560</v>
      </c>
      <c r="G99" s="272">
        <f t="shared" si="4"/>
        <v>160</v>
      </c>
    </row>
    <row r="100" spans="1:7" ht="13.8" x14ac:dyDescent="0.25">
      <c r="A100" s="83" t="s">
        <v>116</v>
      </c>
      <c r="B100" s="84" t="s">
        <v>42</v>
      </c>
      <c r="C100" s="254">
        <v>4</v>
      </c>
      <c r="D100" s="270">
        <v>7.5</v>
      </c>
      <c r="E100" s="271">
        <f t="shared" si="3"/>
        <v>30</v>
      </c>
      <c r="F100" s="272">
        <f t="shared" si="5"/>
        <v>60</v>
      </c>
      <c r="G100" s="272">
        <f t="shared" si="4"/>
        <v>17.142857142857142</v>
      </c>
    </row>
    <row r="101" spans="1:7" ht="13.8" x14ac:dyDescent="0.25">
      <c r="A101" s="85" t="s">
        <v>117</v>
      </c>
      <c r="B101" s="86" t="s">
        <v>42</v>
      </c>
      <c r="C101" s="258">
        <v>1</v>
      </c>
      <c r="D101" s="285">
        <v>150</v>
      </c>
      <c r="E101" s="271">
        <f t="shared" si="3"/>
        <v>150</v>
      </c>
      <c r="F101" s="272">
        <f>+E101*1</f>
        <v>150</v>
      </c>
      <c r="G101" s="272">
        <f t="shared" si="4"/>
        <v>42.857142857142854</v>
      </c>
    </row>
    <row r="102" spans="1:7" ht="13.8" x14ac:dyDescent="0.25">
      <c r="A102" s="85" t="s">
        <v>118</v>
      </c>
      <c r="B102" s="86" t="s">
        <v>119</v>
      </c>
      <c r="C102" s="258">
        <v>5</v>
      </c>
      <c r="D102" s="285">
        <v>100</v>
      </c>
      <c r="E102" s="271">
        <f t="shared" si="3"/>
        <v>500</v>
      </c>
      <c r="F102" s="272">
        <f>+E102*1</f>
        <v>500</v>
      </c>
      <c r="G102" s="272">
        <f t="shared" si="4"/>
        <v>142.85714285714286</v>
      </c>
    </row>
    <row r="103" spans="1:7" ht="13.8" x14ac:dyDescent="0.25">
      <c r="A103" s="85" t="s">
        <v>161</v>
      </c>
      <c r="B103" s="86" t="s">
        <v>42</v>
      </c>
      <c r="C103" s="258">
        <v>200</v>
      </c>
      <c r="D103" s="285">
        <v>2</v>
      </c>
      <c r="E103" s="271">
        <f t="shared" ref="E103" si="9">+C103*D103</f>
        <v>400</v>
      </c>
      <c r="F103" s="272">
        <f>+E103*1</f>
        <v>400</v>
      </c>
      <c r="G103" s="272">
        <f t="shared" ref="G103" si="10">+F103/3.5</f>
        <v>114.28571428571429</v>
      </c>
    </row>
    <row r="104" spans="1:7" ht="14.4" thickBot="1" x14ac:dyDescent="0.3">
      <c r="A104" s="79" t="s">
        <v>120</v>
      </c>
      <c r="B104" s="80" t="s">
        <v>121</v>
      </c>
      <c r="C104" s="256">
        <v>20</v>
      </c>
      <c r="D104" s="279">
        <v>5</v>
      </c>
      <c r="E104" s="280">
        <f t="shared" si="3"/>
        <v>100</v>
      </c>
      <c r="F104" s="272">
        <f t="shared" si="5"/>
        <v>200</v>
      </c>
      <c r="G104" s="275">
        <f t="shared" si="4"/>
        <v>57.142857142857146</v>
      </c>
    </row>
    <row r="105" spans="1:7" ht="14.4" thickBot="1" x14ac:dyDescent="0.3">
      <c r="A105" s="87"/>
      <c r="B105" s="88"/>
      <c r="C105" s="89"/>
      <c r="D105" s="286"/>
      <c r="E105" s="286"/>
      <c r="F105" s="277">
        <f>SUM(F67:F104)</f>
        <v>8087.2479999999996</v>
      </c>
      <c r="G105" s="277">
        <f>SUM(G67:G104)</f>
        <v>2310.6422857142861</v>
      </c>
    </row>
    <row r="106" spans="1:7" ht="14.4" thickBot="1" x14ac:dyDescent="0.35">
      <c r="A106" s="87"/>
      <c r="B106" s="88"/>
      <c r="C106" s="89"/>
      <c r="D106" s="286"/>
      <c r="E106" s="286"/>
      <c r="F106" s="287"/>
      <c r="G106" s="287"/>
    </row>
    <row r="107" spans="1:7" ht="14.4" thickBot="1" x14ac:dyDescent="0.3">
      <c r="A107" s="87"/>
      <c r="B107" s="88"/>
      <c r="C107" s="89"/>
      <c r="D107" s="286"/>
      <c r="E107" s="286"/>
      <c r="F107" s="277">
        <f>+F46+F53+F105</f>
        <v>10094.878000000001</v>
      </c>
      <c r="G107" s="277">
        <f>+G46+G53+G105</f>
        <v>2884.2508571428575</v>
      </c>
    </row>
  </sheetData>
  <mergeCells count="29">
    <mergeCell ref="F55:F56"/>
    <mergeCell ref="G55:G56"/>
    <mergeCell ref="B6:C6"/>
    <mergeCell ref="G49:G50"/>
    <mergeCell ref="B65:B66"/>
    <mergeCell ref="C65:C66"/>
    <mergeCell ref="D65:D66"/>
    <mergeCell ref="E65:E66"/>
    <mergeCell ref="F65:F66"/>
    <mergeCell ref="G65:G66"/>
    <mergeCell ref="B49:B50"/>
    <mergeCell ref="C49:C50"/>
    <mergeCell ref="D49:D50"/>
    <mergeCell ref="E49:E50"/>
    <mergeCell ref="F49:F50"/>
    <mergeCell ref="B55:B56"/>
    <mergeCell ref="C55:C56"/>
    <mergeCell ref="D55:D56"/>
    <mergeCell ref="E55:E56"/>
    <mergeCell ref="B10:B11"/>
    <mergeCell ref="C10:C11"/>
    <mergeCell ref="D10:D11"/>
    <mergeCell ref="F10:F11"/>
    <mergeCell ref="G10:G11"/>
    <mergeCell ref="B8:C8"/>
    <mergeCell ref="B3:C3"/>
    <mergeCell ref="B4:C4"/>
    <mergeCell ref="B5:C5"/>
    <mergeCell ref="B7:C7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E11" sqref="E11"/>
    </sheetView>
  </sheetViews>
  <sheetFormatPr baseColWidth="10" defaultRowHeight="14.4" x14ac:dyDescent="0.3"/>
  <cols>
    <col min="1" max="1" width="46.33203125" customWidth="1"/>
  </cols>
  <sheetData>
    <row r="1" spans="1:8" ht="15" thickBot="1" x14ac:dyDescent="0.35">
      <c r="A1" s="108"/>
      <c r="B1" s="192" t="s">
        <v>25</v>
      </c>
      <c r="C1" s="193"/>
      <c r="D1" s="109" t="s">
        <v>20</v>
      </c>
      <c r="E1" s="110" t="s">
        <v>21</v>
      </c>
      <c r="F1" s="108"/>
      <c r="G1" s="108"/>
    </row>
    <row r="2" spans="1:8" x14ac:dyDescent="0.3">
      <c r="A2" s="108"/>
      <c r="B2" s="182" t="s">
        <v>25</v>
      </c>
      <c r="C2" s="183"/>
      <c r="D2" s="111">
        <f>+F18</f>
        <v>11003.800000000001</v>
      </c>
      <c r="E2" s="112">
        <f>+G18</f>
        <v>3143.9428571428571</v>
      </c>
      <c r="F2" s="108"/>
      <c r="G2" s="108"/>
    </row>
    <row r="3" spans="1:8" ht="15" thickBot="1" x14ac:dyDescent="0.35">
      <c r="A3" s="113"/>
      <c r="B3" s="194" t="s">
        <v>4</v>
      </c>
      <c r="C3" s="195"/>
      <c r="D3" s="114">
        <f>SUM(D2:D2)</f>
        <v>11003.800000000001</v>
      </c>
      <c r="E3" s="114">
        <f>SUM(E2:E2)</f>
        <v>3143.9428571428571</v>
      </c>
      <c r="F3" s="113"/>
      <c r="G3" s="113"/>
    </row>
    <row r="4" spans="1:8" x14ac:dyDescent="0.3">
      <c r="A4" s="108"/>
      <c r="B4" s="115"/>
      <c r="C4" s="115"/>
      <c r="D4" s="115"/>
      <c r="E4" s="108"/>
      <c r="F4" s="108"/>
      <c r="G4" s="108"/>
    </row>
    <row r="5" spans="1:8" ht="15" thickBot="1" x14ac:dyDescent="0.35">
      <c r="A5" s="108"/>
      <c r="B5" s="115"/>
      <c r="C5" s="115"/>
      <c r="D5" s="115"/>
      <c r="E5" s="108"/>
      <c r="F5" s="108"/>
      <c r="G5" s="108"/>
    </row>
    <row r="6" spans="1:8" ht="28.2" thickBot="1" x14ac:dyDescent="0.35">
      <c r="A6" s="116" t="s">
        <v>188</v>
      </c>
      <c r="B6" s="117" t="s">
        <v>6</v>
      </c>
      <c r="C6" s="118" t="s">
        <v>11</v>
      </c>
      <c r="D6" s="119" t="s">
        <v>1</v>
      </c>
      <c r="E6" s="119" t="s">
        <v>12</v>
      </c>
      <c r="F6" s="120" t="s">
        <v>27</v>
      </c>
      <c r="G6" s="120" t="s">
        <v>28</v>
      </c>
    </row>
    <row r="7" spans="1:8" ht="27.6" x14ac:dyDescent="0.3">
      <c r="A7" s="121" t="s">
        <v>17</v>
      </c>
      <c r="B7" s="122">
        <v>10</v>
      </c>
      <c r="C7" s="122" t="s">
        <v>158</v>
      </c>
      <c r="D7" s="122">
        <v>1</v>
      </c>
      <c r="E7" s="123">
        <v>800</v>
      </c>
      <c r="F7" s="124">
        <f>+B7*D7*E7</f>
        <v>8000</v>
      </c>
      <c r="G7" s="124">
        <f>+F7/3.5</f>
        <v>2285.7142857142858</v>
      </c>
    </row>
    <row r="8" spans="1:8" x14ac:dyDescent="0.3">
      <c r="A8" s="125" t="s">
        <v>189</v>
      </c>
      <c r="B8" s="122"/>
      <c r="C8" s="126"/>
      <c r="D8" s="126"/>
      <c r="E8" s="127"/>
      <c r="F8" s="124"/>
      <c r="G8" s="124"/>
    </row>
    <row r="9" spans="1:8" x14ac:dyDescent="0.3">
      <c r="A9" s="128" t="s">
        <v>16</v>
      </c>
      <c r="B9" s="129">
        <v>0</v>
      </c>
      <c r="C9" s="130" t="s">
        <v>19</v>
      </c>
      <c r="D9" s="130">
        <v>1</v>
      </c>
      <c r="E9" s="131">
        <v>1500</v>
      </c>
      <c r="F9" s="124">
        <f>+B9*D9*E9</f>
        <v>0</v>
      </c>
      <c r="G9" s="124">
        <f>+F9/3.5</f>
        <v>0</v>
      </c>
    </row>
    <row r="10" spans="1:8" x14ac:dyDescent="0.3">
      <c r="A10" s="132" t="s">
        <v>2</v>
      </c>
      <c r="B10" s="133">
        <v>0</v>
      </c>
      <c r="C10" s="134"/>
      <c r="D10" s="134">
        <v>1</v>
      </c>
      <c r="E10" s="135">
        <v>1650</v>
      </c>
      <c r="F10" s="136">
        <f>+B10*D10*E10</f>
        <v>0</v>
      </c>
      <c r="G10" s="136">
        <f>+F10/3.5</f>
        <v>0</v>
      </c>
    </row>
    <row r="11" spans="1:8" x14ac:dyDescent="0.3">
      <c r="A11" s="132" t="s">
        <v>3</v>
      </c>
      <c r="B11" s="133">
        <v>0</v>
      </c>
      <c r="C11" s="130" t="s">
        <v>19</v>
      </c>
      <c r="D11" s="134">
        <v>3</v>
      </c>
      <c r="E11" s="135">
        <v>1600</v>
      </c>
      <c r="F11" s="136">
        <f>+B11*D11*E11</f>
        <v>0</v>
      </c>
      <c r="G11" s="136">
        <f>+F11/3.5</f>
        <v>0</v>
      </c>
    </row>
    <row r="12" spans="1:8" x14ac:dyDescent="0.3">
      <c r="A12" s="132"/>
      <c r="B12" s="133"/>
      <c r="C12" s="130"/>
      <c r="D12" s="134"/>
      <c r="E12" s="135"/>
      <c r="F12" s="136"/>
      <c r="G12" s="136"/>
    </row>
    <row r="13" spans="1:8" x14ac:dyDescent="0.3">
      <c r="A13" s="137" t="s">
        <v>186</v>
      </c>
      <c r="B13" s="133"/>
      <c r="C13" s="130"/>
      <c r="D13" s="134"/>
      <c r="E13" s="135"/>
      <c r="F13" s="136"/>
      <c r="G13" s="136"/>
    </row>
    <row r="14" spans="1:8" x14ac:dyDescent="0.3">
      <c r="A14" s="132" t="s">
        <v>208</v>
      </c>
      <c r="B14" s="133">
        <v>1</v>
      </c>
      <c r="C14" s="130" t="s">
        <v>19</v>
      </c>
      <c r="D14" s="134">
        <v>1</v>
      </c>
      <c r="E14" s="135">
        <v>1932.6</v>
      </c>
      <c r="F14" s="136">
        <f>+B14*D14*E14</f>
        <v>1932.6</v>
      </c>
      <c r="G14" s="136">
        <f>+F14/3.5</f>
        <v>552.17142857142858</v>
      </c>
      <c r="H14" t="s">
        <v>202</v>
      </c>
    </row>
    <row r="15" spans="1:8" x14ac:dyDescent="0.3">
      <c r="A15" s="132" t="s">
        <v>187</v>
      </c>
      <c r="B15" s="133">
        <v>1</v>
      </c>
      <c r="C15" s="130" t="s">
        <v>19</v>
      </c>
      <c r="D15" s="134">
        <v>1</v>
      </c>
      <c r="E15" s="135">
        <v>1071.2</v>
      </c>
      <c r="F15" s="136">
        <f>+B15*D15*E15</f>
        <v>1071.2</v>
      </c>
      <c r="G15" s="136">
        <f>+F15/3.5</f>
        <v>306.05714285714288</v>
      </c>
      <c r="H15" t="s">
        <v>202</v>
      </c>
    </row>
    <row r="16" spans="1:8" x14ac:dyDescent="0.3">
      <c r="A16" s="132"/>
      <c r="B16" s="133"/>
      <c r="C16" s="134"/>
      <c r="D16" s="134"/>
      <c r="E16" s="135"/>
      <c r="F16" s="136"/>
      <c r="G16" s="136"/>
    </row>
    <row r="17" spans="1:7" ht="15" thickBot="1" x14ac:dyDescent="0.35">
      <c r="A17" s="138"/>
      <c r="B17" s="138"/>
      <c r="C17" s="138"/>
      <c r="D17" s="138"/>
      <c r="E17" s="138"/>
      <c r="F17" s="138"/>
      <c r="G17" s="138"/>
    </row>
    <row r="18" spans="1:7" ht="15" thickBot="1" x14ac:dyDescent="0.35">
      <c r="A18" s="139"/>
      <c r="B18" s="140"/>
      <c r="C18" s="140"/>
      <c r="D18" s="140"/>
      <c r="E18" s="141" t="s">
        <v>4</v>
      </c>
      <c r="F18" s="142">
        <f>SUM(F7:F16)</f>
        <v>11003.800000000001</v>
      </c>
      <c r="G18" s="142">
        <f>SUM(G7:G16)</f>
        <v>3143.9428571428571</v>
      </c>
    </row>
    <row r="19" spans="1:7" x14ac:dyDescent="0.3">
      <c r="A19" s="108"/>
      <c r="B19" s="115"/>
      <c r="C19" s="115"/>
      <c r="D19" s="115"/>
      <c r="E19" s="108"/>
      <c r="F19" s="108"/>
      <c r="G19" s="108"/>
    </row>
    <row r="20" spans="1:7" x14ac:dyDescent="0.3">
      <c r="A20" s="11"/>
      <c r="B20" s="12"/>
      <c r="C20" s="12"/>
      <c r="D20" s="12"/>
      <c r="E20" s="11"/>
      <c r="F20" s="11"/>
      <c r="G20" s="11"/>
    </row>
    <row r="21" spans="1:7" x14ac:dyDescent="0.3">
      <c r="A21" s="11"/>
      <c r="B21" s="12"/>
      <c r="C21" s="12"/>
      <c r="D21" s="12"/>
      <c r="E21" s="11"/>
      <c r="F21" s="11"/>
      <c r="G21" s="11"/>
    </row>
    <row r="22" spans="1:7" x14ac:dyDescent="0.3">
      <c r="A22" s="11"/>
      <c r="B22" s="12"/>
      <c r="C22" s="12"/>
      <c r="D22" s="12"/>
      <c r="E22" s="11"/>
      <c r="F22" s="11"/>
      <c r="G22" s="11"/>
    </row>
    <row r="23" spans="1:7" x14ac:dyDescent="0.3">
      <c r="A23" s="11"/>
      <c r="B23" s="12"/>
      <c r="C23" s="12"/>
      <c r="D23" s="12"/>
      <c r="E23" s="11"/>
      <c r="F23" s="11"/>
      <c r="G23" s="11"/>
    </row>
    <row r="24" spans="1:7" x14ac:dyDescent="0.3">
      <c r="A24" s="11"/>
      <c r="B24" s="12"/>
      <c r="C24" s="12"/>
      <c r="D24" s="12"/>
      <c r="E24" s="11"/>
      <c r="F24" s="11"/>
      <c r="G24" s="11"/>
    </row>
  </sheetData>
  <mergeCells count="3">
    <mergeCell ref="B1:C1"/>
    <mergeCell ref="B2:C2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Resumen Presupuesto </vt:lpstr>
      <vt:lpstr>Honorarios </vt:lpstr>
      <vt:lpstr> EPPS </vt:lpstr>
      <vt:lpstr>Examenes medicos </vt:lpstr>
      <vt:lpstr>Polizas, seguros y carta fianza</vt:lpstr>
      <vt:lpstr>Transporte de personal</vt:lpstr>
      <vt:lpstr>Viaticos-Alojam. </vt:lpstr>
      <vt:lpstr>Equipos y materiales</vt:lpstr>
      <vt:lpstr>Otros gastos</vt:lpstr>
      <vt:lpstr>Hoja9</vt:lpstr>
    </vt:vector>
  </TitlesOfParts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AMALIA</dc:creator>
  <cp:lastModifiedBy>DIANA GALINDO CALANCHO</cp:lastModifiedBy>
  <cp:revision/>
  <cp:lastPrinted>2020-07-13T19:13:36Z</cp:lastPrinted>
  <dcterms:created xsi:type="dcterms:W3CDTF">2011-01-27T23:32:49Z</dcterms:created>
  <dcterms:modified xsi:type="dcterms:W3CDTF">2022-03-18T05:49:43Z</dcterms:modified>
</cp:coreProperties>
</file>