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firma.sharepoint.com/teams/AreadeTierras/Documentos compartidos/Propuestas OHL/Huarmey/"/>
    </mc:Choice>
  </mc:AlternateContent>
  <xr:revisionPtr revIDLastSave="0" documentId="8_{C21B5136-3E2B-4339-82C1-6CD79D8D7D8B}" xr6:coauthVersionLast="47" xr6:coauthVersionMax="47" xr10:uidLastSave="{00000000-0000-0000-0000-000000000000}"/>
  <bookViews>
    <workbookView xWindow="-108" yWindow="-108" windowWidth="23256" windowHeight="12576" firstSheet="1" activeTab="2" xr2:uid="{66DDC0C5-960A-48C5-AAEB-5F8A86501412}"/>
  </bookViews>
  <sheets>
    <sheet name="Datos" sheetId="4" state="hidden" r:id="rId1"/>
    <sheet name="FC" sheetId="3" r:id="rId2"/>
    <sheet name="Formato Huarmey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1" i="5" l="1"/>
  <c r="AE38" i="3"/>
  <c r="E41" i="3"/>
  <c r="E45" i="3" s="1"/>
  <c r="AC45" i="3"/>
  <c r="AB45" i="3"/>
  <c r="AA45" i="3"/>
  <c r="Z45" i="3"/>
  <c r="Y45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AC15" i="3" l="1"/>
  <c r="AB15" i="3"/>
  <c r="AA15" i="3"/>
  <c r="Z15" i="3"/>
  <c r="Y15" i="3"/>
  <c r="X15" i="3"/>
  <c r="W15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AD15" i="3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2" i="5"/>
  <c r="G11" i="5"/>
  <c r="G10" i="5"/>
  <c r="G9" i="5"/>
  <c r="G8" i="5"/>
  <c r="G7" i="5"/>
  <c r="D2" i="3"/>
  <c r="G14" i="5" l="1"/>
  <c r="G5" i="5"/>
  <c r="S51" i="3"/>
  <c r="I5" i="3"/>
  <c r="G32" i="5" l="1"/>
  <c r="G37" i="5" s="1"/>
  <c r="O51" i="3"/>
  <c r="AD49" i="3"/>
  <c r="AD42" i="3"/>
  <c r="AC50" i="3"/>
  <c r="AB50" i="3"/>
  <c r="AA50" i="3"/>
  <c r="Z50" i="3"/>
  <c r="Y50" i="3"/>
  <c r="X50" i="3"/>
  <c r="W50" i="3"/>
  <c r="V50" i="3"/>
  <c r="U50" i="3"/>
  <c r="T50" i="3"/>
  <c r="AC43" i="3"/>
  <c r="AB43" i="3"/>
  <c r="AA43" i="3"/>
  <c r="Z43" i="3"/>
  <c r="Y43" i="3"/>
  <c r="X43" i="3"/>
  <c r="W43" i="3"/>
  <c r="V43" i="3"/>
  <c r="U43" i="3"/>
  <c r="T43" i="3"/>
  <c r="S43" i="3"/>
  <c r="R43" i="3"/>
  <c r="E43" i="3"/>
  <c r="AD43" i="3" s="1"/>
  <c r="D4" i="4"/>
  <c r="D5" i="4" s="1"/>
  <c r="AC38" i="3"/>
  <c r="AA38" i="3"/>
  <c r="Z38" i="3"/>
  <c r="Z64" i="3" s="1"/>
  <c r="Y38" i="3"/>
  <c r="V38" i="3"/>
  <c r="V64" i="3" s="1"/>
  <c r="U38" i="3"/>
  <c r="S38" i="3"/>
  <c r="R38" i="3"/>
  <c r="R64" i="3" s="1"/>
  <c r="Q38" i="3"/>
  <c r="N38" i="3"/>
  <c r="M38" i="3"/>
  <c r="K38" i="3"/>
  <c r="J38" i="3"/>
  <c r="I38" i="3"/>
  <c r="F38" i="3"/>
  <c r="AD21" i="3"/>
  <c r="AD20" i="3"/>
  <c r="AD19" i="3"/>
  <c r="AD18" i="3"/>
  <c r="AD17" i="3"/>
  <c r="AD16" i="3"/>
  <c r="AC23" i="3"/>
  <c r="AB23" i="3"/>
  <c r="AA23" i="3"/>
  <c r="Z23" i="3"/>
  <c r="Y23" i="3"/>
  <c r="X23" i="3"/>
  <c r="W23" i="3"/>
  <c r="W38" i="3" s="1"/>
  <c r="W64" i="3" s="1"/>
  <c r="V23" i="3"/>
  <c r="U23" i="3"/>
  <c r="T23" i="3"/>
  <c r="S23" i="3"/>
  <c r="R23" i="3"/>
  <c r="AD35" i="3"/>
  <c r="AD34" i="3"/>
  <c r="AD33" i="3"/>
  <c r="AD32" i="3"/>
  <c r="AD31" i="3"/>
  <c r="AD30" i="3"/>
  <c r="AD29" i="3"/>
  <c r="AD28" i="3"/>
  <c r="AD27" i="3"/>
  <c r="AD26" i="3"/>
  <c r="AD25" i="3"/>
  <c r="AD24" i="3"/>
  <c r="AD23" i="3" s="1"/>
  <c r="AD36" i="3"/>
  <c r="J77" i="3"/>
  <c r="I77" i="3"/>
  <c r="H77" i="3"/>
  <c r="G77" i="3"/>
  <c r="J76" i="3"/>
  <c r="I76" i="3"/>
  <c r="H76" i="3"/>
  <c r="G76" i="3"/>
  <c r="F76" i="3"/>
  <c r="H75" i="3"/>
  <c r="G75" i="3"/>
  <c r="F75" i="3"/>
  <c r="E75" i="3"/>
  <c r="Q71" i="3"/>
  <c r="P71" i="3"/>
  <c r="O71" i="3"/>
  <c r="O72" i="3" s="1"/>
  <c r="N71" i="3"/>
  <c r="M71" i="3"/>
  <c r="L71" i="3"/>
  <c r="L72" i="3" s="1"/>
  <c r="K71" i="3"/>
  <c r="J71" i="3"/>
  <c r="J72" i="3" s="1"/>
  <c r="K75" i="3" s="1"/>
  <c r="I71" i="3"/>
  <c r="I72" i="3" s="1"/>
  <c r="H71" i="3"/>
  <c r="H72" i="3" s="1"/>
  <c r="G71" i="3"/>
  <c r="F71" i="3"/>
  <c r="F72" i="3" s="1"/>
  <c r="E71" i="3"/>
  <c r="E72" i="3" s="1"/>
  <c r="J74" i="3" s="1"/>
  <c r="F63" i="3"/>
  <c r="E63" i="3"/>
  <c r="K51" i="3"/>
  <c r="J51" i="3"/>
  <c r="E50" i="3"/>
  <c r="Q43" i="3"/>
  <c r="P43" i="3"/>
  <c r="O43" i="3"/>
  <c r="N43" i="3"/>
  <c r="M43" i="3"/>
  <c r="L43" i="3"/>
  <c r="K43" i="3"/>
  <c r="J43" i="3"/>
  <c r="I43" i="3"/>
  <c r="H43" i="3"/>
  <c r="G43" i="3"/>
  <c r="F43" i="3"/>
  <c r="Q23" i="3"/>
  <c r="P23" i="3"/>
  <c r="O23" i="3"/>
  <c r="N23" i="3"/>
  <c r="M23" i="3"/>
  <c r="L23" i="3"/>
  <c r="L38" i="3" s="1"/>
  <c r="K23" i="3"/>
  <c r="J23" i="3"/>
  <c r="I23" i="3"/>
  <c r="H23" i="3"/>
  <c r="G23" i="3"/>
  <c r="F23" i="3"/>
  <c r="E23" i="3"/>
  <c r="E15" i="3"/>
  <c r="F12" i="3"/>
  <c r="E12" i="3"/>
  <c r="E10" i="3" s="1"/>
  <c r="D12" i="3"/>
  <c r="D10" i="3" s="1"/>
  <c r="G11" i="3"/>
  <c r="G12" i="3" s="1"/>
  <c r="F10" i="3"/>
  <c r="H11" i="3"/>
  <c r="AA64" i="3" l="1"/>
  <c r="S64" i="3"/>
  <c r="T38" i="3"/>
  <c r="T64" i="3" s="1"/>
  <c r="AB38" i="3"/>
  <c r="AB64" i="3" s="1"/>
  <c r="U64" i="3"/>
  <c r="AC64" i="3"/>
  <c r="L75" i="3"/>
  <c r="L50" i="3" s="1"/>
  <c r="F59" i="3"/>
  <c r="N64" i="3"/>
  <c r="G38" i="3"/>
  <c r="O38" i="3"/>
  <c r="O64" i="3" s="1"/>
  <c r="M75" i="3"/>
  <c r="M50" i="3" s="1"/>
  <c r="Q76" i="3"/>
  <c r="Q50" i="3" s="1"/>
  <c r="P76" i="3"/>
  <c r="P50" i="3" s="1"/>
  <c r="S76" i="3"/>
  <c r="S50" i="3" s="1"/>
  <c r="R76" i="3"/>
  <c r="R50" i="3" s="1"/>
  <c r="H38" i="3"/>
  <c r="H64" i="3" s="1"/>
  <c r="P38" i="3"/>
  <c r="P64" i="3" s="1"/>
  <c r="X38" i="3"/>
  <c r="X64" i="3" s="1"/>
  <c r="Y64" i="3"/>
  <c r="AD41" i="3"/>
  <c r="N75" i="3"/>
  <c r="N50" i="3" s="1"/>
  <c r="O75" i="3"/>
  <c r="O50" i="3" s="1"/>
  <c r="AD51" i="3"/>
  <c r="E38" i="3"/>
  <c r="G72" i="3"/>
  <c r="M64" i="3"/>
  <c r="J75" i="3"/>
  <c r="J50" i="3" s="1"/>
  <c r="I75" i="3"/>
  <c r="K72" i="3"/>
  <c r="M72" i="3" s="1"/>
  <c r="Q72" i="3" s="1"/>
  <c r="L64" i="3"/>
  <c r="N72" i="3"/>
  <c r="P72" i="3" s="1"/>
  <c r="H12" i="3"/>
  <c r="H10" i="3" s="1"/>
  <c r="I11" i="3"/>
  <c r="H63" i="3"/>
  <c r="K50" i="3"/>
  <c r="G10" i="3"/>
  <c r="G74" i="3"/>
  <c r="G50" i="3" s="1"/>
  <c r="F74" i="3"/>
  <c r="F50" i="3" s="1"/>
  <c r="G59" i="3"/>
  <c r="H74" i="3"/>
  <c r="H50" i="3" s="1"/>
  <c r="I64" i="3"/>
  <c r="G63" i="3"/>
  <c r="I74" i="3"/>
  <c r="E64" i="3" l="1"/>
  <c r="E65" i="3" s="1"/>
  <c r="E66" i="3" s="1"/>
  <c r="E67" i="3" s="1"/>
  <c r="E47" i="3" s="1"/>
  <c r="AD38" i="3"/>
  <c r="AD64" i="3" s="1"/>
  <c r="J64" i="3"/>
  <c r="G64" i="3"/>
  <c r="G65" i="3" s="1"/>
  <c r="G66" i="3" s="1"/>
  <c r="Q64" i="3"/>
  <c r="H59" i="3"/>
  <c r="K64" i="3"/>
  <c r="H65" i="3"/>
  <c r="H66" i="3" s="1"/>
  <c r="F64" i="3"/>
  <c r="F65" i="3" s="1"/>
  <c r="F66" i="3" s="1"/>
  <c r="J11" i="3"/>
  <c r="I12" i="3"/>
  <c r="I63" i="3"/>
  <c r="I65" i="3" s="1"/>
  <c r="I66" i="3" s="1"/>
  <c r="I50" i="3"/>
  <c r="AD50" i="3" s="1"/>
  <c r="F67" i="3" l="1"/>
  <c r="F47" i="3" s="1"/>
  <c r="E59" i="3"/>
  <c r="E60" i="3" s="1"/>
  <c r="AD45" i="3"/>
  <c r="I59" i="3"/>
  <c r="K11" i="3"/>
  <c r="J63" i="3"/>
  <c r="J65" i="3" s="1"/>
  <c r="J66" i="3" s="1"/>
  <c r="J12" i="3"/>
  <c r="I10" i="3"/>
  <c r="G67" i="3" l="1"/>
  <c r="G47" i="3" s="1"/>
  <c r="F60" i="3"/>
  <c r="F46" i="3" s="1"/>
  <c r="F14" i="3" s="1"/>
  <c r="E46" i="3"/>
  <c r="E14" i="3" s="1"/>
  <c r="E53" i="3" s="1"/>
  <c r="J59" i="3"/>
  <c r="K63" i="3"/>
  <c r="K65" i="3" s="1"/>
  <c r="K66" i="3" s="1"/>
  <c r="L11" i="3"/>
  <c r="K12" i="3"/>
  <c r="K59" i="3" s="1"/>
  <c r="J10" i="3"/>
  <c r="H67" i="3" l="1"/>
  <c r="I67" i="3" s="1"/>
  <c r="G60" i="3"/>
  <c r="G46" i="3" s="1"/>
  <c r="K10" i="3"/>
  <c r="F53" i="3"/>
  <c r="M11" i="3"/>
  <c r="L63" i="3"/>
  <c r="L65" i="3" s="1"/>
  <c r="L66" i="3" s="1"/>
  <c r="L12" i="3"/>
  <c r="H47" i="3" l="1"/>
  <c r="H60" i="3"/>
  <c r="I60" i="3" s="1"/>
  <c r="M63" i="3"/>
  <c r="M65" i="3" s="1"/>
  <c r="M66" i="3" s="1"/>
  <c r="N11" i="3"/>
  <c r="M12" i="3"/>
  <c r="L59" i="3"/>
  <c r="J67" i="3"/>
  <c r="I47" i="3"/>
  <c r="L10" i="3"/>
  <c r="G14" i="3"/>
  <c r="G53" i="3" s="1"/>
  <c r="H46" i="3" l="1"/>
  <c r="H14" i="3" s="1"/>
  <c r="H53" i="3" s="1"/>
  <c r="M59" i="3"/>
  <c r="M10" i="3"/>
  <c r="N63" i="3"/>
  <c r="N65" i="3" s="1"/>
  <c r="N66" i="3" s="1"/>
  <c r="N12" i="3"/>
  <c r="N10" i="3" s="1"/>
  <c r="O11" i="3"/>
  <c r="K67" i="3"/>
  <c r="J47" i="3"/>
  <c r="J60" i="3"/>
  <c r="I46" i="3"/>
  <c r="L67" i="3" l="1"/>
  <c r="K47" i="3"/>
  <c r="I14" i="3"/>
  <c r="I53" i="3" s="1"/>
  <c r="O12" i="3"/>
  <c r="O59" i="3" s="1"/>
  <c r="P11" i="3"/>
  <c r="O63" i="3"/>
  <c r="O65" i="3" s="1"/>
  <c r="O66" i="3" s="1"/>
  <c r="K60" i="3"/>
  <c r="J46" i="3"/>
  <c r="J14" i="3" s="1"/>
  <c r="N59" i="3"/>
  <c r="J53" i="3" l="1"/>
  <c r="M67" i="3"/>
  <c r="L47" i="3"/>
  <c r="L60" i="3"/>
  <c r="K46" i="3"/>
  <c r="O10" i="3"/>
  <c r="P63" i="3"/>
  <c r="P65" i="3" s="1"/>
  <c r="P66" i="3" s="1"/>
  <c r="P12" i="3"/>
  <c r="P59" i="3" s="1"/>
  <c r="Q11" i="3"/>
  <c r="R11" i="3" s="1"/>
  <c r="S11" i="3" l="1"/>
  <c r="R63" i="3"/>
  <c r="R65" i="3" s="1"/>
  <c r="R66" i="3" s="1"/>
  <c r="R12" i="3"/>
  <c r="R59" i="3" s="1"/>
  <c r="Q12" i="3"/>
  <c r="Q10" i="3" s="1"/>
  <c r="Q63" i="3"/>
  <c r="Q65" i="3" s="1"/>
  <c r="Q66" i="3" s="1"/>
  <c r="K14" i="3"/>
  <c r="K53" i="3" s="1"/>
  <c r="P10" i="3"/>
  <c r="M60" i="3"/>
  <c r="L46" i="3"/>
  <c r="L14" i="3" s="1"/>
  <c r="N67" i="3"/>
  <c r="M47" i="3"/>
  <c r="R10" i="3" l="1"/>
  <c r="S63" i="3"/>
  <c r="S65" i="3" s="1"/>
  <c r="S66" i="3" s="1"/>
  <c r="T11" i="3"/>
  <c r="S12" i="3"/>
  <c r="S59" i="3" s="1"/>
  <c r="L53" i="3"/>
  <c r="N60" i="3"/>
  <c r="M46" i="3"/>
  <c r="M14" i="3" s="1"/>
  <c r="O67" i="3"/>
  <c r="N47" i="3"/>
  <c r="Q59" i="3"/>
  <c r="S10" i="3" l="1"/>
  <c r="T63" i="3"/>
  <c r="T65" i="3" s="1"/>
  <c r="T66" i="3" s="1"/>
  <c r="U11" i="3"/>
  <c r="T12" i="3"/>
  <c r="T59" i="3" s="1"/>
  <c r="M53" i="3"/>
  <c r="P67" i="3"/>
  <c r="O47" i="3"/>
  <c r="O60" i="3"/>
  <c r="N46" i="3"/>
  <c r="N14" i="3" s="1"/>
  <c r="T10" i="3" l="1"/>
  <c r="U63" i="3"/>
  <c r="U65" i="3" s="1"/>
  <c r="U66" i="3" s="1"/>
  <c r="V11" i="3"/>
  <c r="U12" i="3"/>
  <c r="U59" i="3" s="1"/>
  <c r="N53" i="3"/>
  <c r="P60" i="3"/>
  <c r="O46" i="3"/>
  <c r="O14" i="3" s="1"/>
  <c r="Q67" i="3"/>
  <c r="P47" i="3"/>
  <c r="Q47" i="3" l="1"/>
  <c r="R67" i="3"/>
  <c r="V63" i="3"/>
  <c r="V65" i="3" s="1"/>
  <c r="V66" i="3" s="1"/>
  <c r="W11" i="3"/>
  <c r="V12" i="3"/>
  <c r="V59" i="3" s="1"/>
  <c r="U10" i="3"/>
  <c r="O53" i="3"/>
  <c r="Q60" i="3"/>
  <c r="P46" i="3"/>
  <c r="P14" i="3" s="1"/>
  <c r="V10" i="3" l="1"/>
  <c r="R47" i="3"/>
  <c r="S67" i="3"/>
  <c r="Q46" i="3"/>
  <c r="Q14" i="3" s="1"/>
  <c r="R60" i="3"/>
  <c r="W63" i="3"/>
  <c r="W65" i="3" s="1"/>
  <c r="W66" i="3" s="1"/>
  <c r="X11" i="3"/>
  <c r="W12" i="3"/>
  <c r="W59" i="3" s="1"/>
  <c r="P53" i="3"/>
  <c r="T67" i="3" l="1"/>
  <c r="S47" i="3"/>
  <c r="X63" i="3"/>
  <c r="X65" i="3" s="1"/>
  <c r="X66" i="3" s="1"/>
  <c r="Y11" i="3"/>
  <c r="X12" i="3"/>
  <c r="X59" i="3" s="1"/>
  <c r="W10" i="3"/>
  <c r="R46" i="3"/>
  <c r="S60" i="3"/>
  <c r="Q53" i="3"/>
  <c r="T60" i="3" l="1"/>
  <c r="S46" i="3"/>
  <c r="S14" i="3" s="1"/>
  <c r="R14" i="3"/>
  <c r="R53" i="3" s="1"/>
  <c r="Y63" i="3"/>
  <c r="Y65" i="3" s="1"/>
  <c r="Y66" i="3" s="1"/>
  <c r="Z11" i="3"/>
  <c r="Y12" i="3"/>
  <c r="Y59" i="3" s="1"/>
  <c r="X10" i="3"/>
  <c r="T47" i="3"/>
  <c r="U67" i="3"/>
  <c r="S53" i="3" l="1"/>
  <c r="U47" i="3"/>
  <c r="V67" i="3"/>
  <c r="Z63" i="3"/>
  <c r="Z65" i="3" s="1"/>
  <c r="Z66" i="3" s="1"/>
  <c r="AA11" i="3"/>
  <c r="Z12" i="3"/>
  <c r="Z59" i="3" s="1"/>
  <c r="Y10" i="3"/>
  <c r="T46" i="3"/>
  <c r="U60" i="3"/>
  <c r="U46" i="3" l="1"/>
  <c r="U14" i="3" s="1"/>
  <c r="V60" i="3"/>
  <c r="AA63" i="3"/>
  <c r="AA65" i="3" s="1"/>
  <c r="AA66" i="3" s="1"/>
  <c r="AB11" i="3"/>
  <c r="AA12" i="3"/>
  <c r="AA59" i="3" s="1"/>
  <c r="T14" i="3"/>
  <c r="T53" i="3" s="1"/>
  <c r="Z10" i="3"/>
  <c r="V47" i="3"/>
  <c r="W67" i="3"/>
  <c r="U53" i="3" l="1"/>
  <c r="AB63" i="3"/>
  <c r="AB65" i="3" s="1"/>
  <c r="AB66" i="3" s="1"/>
  <c r="AC11" i="3"/>
  <c r="AB12" i="3"/>
  <c r="AB59" i="3" s="1"/>
  <c r="AA10" i="3"/>
  <c r="W47" i="3"/>
  <c r="X67" i="3"/>
  <c r="V46" i="3"/>
  <c r="V14" i="3" s="1"/>
  <c r="W60" i="3"/>
  <c r="AB10" i="3" l="1"/>
  <c r="V53" i="3"/>
  <c r="W46" i="3"/>
  <c r="W14" i="3" s="1"/>
  <c r="X60" i="3"/>
  <c r="AC12" i="3"/>
  <c r="AC10" i="3" s="1"/>
  <c r="AC63" i="3"/>
  <c r="AC65" i="3" s="1"/>
  <c r="AC66" i="3" s="1"/>
  <c r="AD11" i="3"/>
  <c r="X47" i="3"/>
  <c r="Y67" i="3"/>
  <c r="AD63" i="3" l="1"/>
  <c r="AD65" i="3" s="1"/>
  <c r="AD66" i="3" s="1"/>
  <c r="W53" i="3"/>
  <c r="AD10" i="3"/>
  <c r="Z67" i="3"/>
  <c r="Y47" i="3"/>
  <c r="AC59" i="3"/>
  <c r="AD12" i="3"/>
  <c r="Y60" i="3"/>
  <c r="X46" i="3"/>
  <c r="X14" i="3" s="1"/>
  <c r="X53" i="3" l="1"/>
  <c r="AA67" i="3"/>
  <c r="Z47" i="3"/>
  <c r="Y46" i="3"/>
  <c r="Y14" i="3" s="1"/>
  <c r="Z60" i="3"/>
  <c r="Y53" i="3" l="1"/>
  <c r="AA60" i="3"/>
  <c r="Z46" i="3"/>
  <c r="Z14" i="3" s="1"/>
  <c r="AA47" i="3"/>
  <c r="AB67" i="3"/>
  <c r="Z53" i="3" l="1"/>
  <c r="AC67" i="3"/>
  <c r="AC47" i="3" s="1"/>
  <c r="AB47" i="3"/>
  <c r="AA46" i="3"/>
  <c r="AA14" i="3" s="1"/>
  <c r="AB60" i="3"/>
  <c r="AA53" i="3" l="1"/>
  <c r="AC60" i="3"/>
  <c r="AC46" i="3" s="1"/>
  <c r="AB46" i="3"/>
  <c r="AB14" i="3" s="1"/>
  <c r="AD47" i="3"/>
  <c r="AB53" i="3" l="1"/>
  <c r="AC14" i="3"/>
  <c r="AD46" i="3"/>
  <c r="AD14" i="3" s="1"/>
  <c r="D3" i="3" l="1"/>
  <c r="D4" i="3" s="1"/>
  <c r="AD53" i="3"/>
  <c r="AC53" i="3"/>
  <c r="AD54" i="3" l="1"/>
  <c r="I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tc={701B4224-2C4F-40ED-8021-628A3A18B109}</author>
    <author>tc={F599100E-F96A-431D-8DAF-0F586EB23834}</author>
  </authors>
  <commentList>
    <comment ref="B1" authorId="0" shapeId="0" xr:uid="{701B4224-2C4F-40ED-8021-628A3A18B10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favor revisar que estos números estén bien.</t>
      </text>
    </comment>
    <comment ref="B16" authorId="1" shapeId="0" xr:uid="{F599100E-F96A-431D-8DAF-0F586EB2383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Unifiqué el concepto "Jefe de Gestión Social" en uno solo para enviarle el archivo al cliente. Por favor revisar si esta unificación no alteró las fórmulas del excel.</t>
      </text>
    </comment>
  </commentList>
</comments>
</file>

<file path=xl/sharedStrings.xml><?xml version="1.0" encoding="utf-8"?>
<sst xmlns="http://schemas.openxmlformats.org/spreadsheetml/2006/main" count="169" uniqueCount="84">
  <si>
    <t xml:space="preserve">Coordinador Relaciones Comunitarias </t>
  </si>
  <si>
    <t xml:space="preserve">Relacionista Comunitario #1 </t>
  </si>
  <si>
    <t xml:space="preserve">Relacionista Comunitario #2 </t>
  </si>
  <si>
    <t>Relacionista Comunitario #3</t>
  </si>
  <si>
    <t>Comunicador</t>
  </si>
  <si>
    <t>Movilización y Desmovilización</t>
  </si>
  <si>
    <t>Viáticos y alojamiemto de personal</t>
  </si>
  <si>
    <t>Alquiler de oficina (Todo costo)</t>
  </si>
  <si>
    <t>Movilidad, combustible, repuestos,  incluye chofer</t>
  </si>
  <si>
    <t>Gastos reuniones y talleres</t>
  </si>
  <si>
    <t>Insumos varios,  impresiones, informes</t>
  </si>
  <si>
    <t>Gastos implementación  medidas anti COVID</t>
  </si>
  <si>
    <t>Equipos de computo(Laptop)</t>
  </si>
  <si>
    <t>Proyector multimedia</t>
  </si>
  <si>
    <t>Parlante</t>
  </si>
  <si>
    <t>Micrófonos</t>
  </si>
  <si>
    <t>Ecran</t>
  </si>
  <si>
    <t>Póliza SCTR Pensión y Salud</t>
  </si>
  <si>
    <t>Estimado ajustado del valor del servicio</t>
  </si>
  <si>
    <t>Rentabilidad objetivo</t>
  </si>
  <si>
    <t>Costos</t>
  </si>
  <si>
    <t>Costo Estimado</t>
  </si>
  <si>
    <t>Rentabilidad</t>
  </si>
  <si>
    <t>Total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</si>
  <si>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</si>
  <si>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</si>
  <si>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</si>
  <si>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</si>
  <si>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</si>
  <si>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</si>
  <si>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</si>
  <si>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</si>
  <si>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>Enero</t>
  </si>
  <si>
    <t>Febrero</t>
  </si>
  <si>
    <t>Marzo</t>
  </si>
  <si>
    <t>Abril</t>
  </si>
  <si>
    <t>Total Ingresos:</t>
  </si>
  <si>
    <t>Ingresos</t>
  </si>
  <si>
    <t>IGV</t>
  </si>
  <si>
    <t>Total Egresos:</t>
  </si>
  <si>
    <t>Planilla:</t>
  </si>
  <si>
    <t>Gastos:</t>
  </si>
  <si>
    <t>Contingencia</t>
  </si>
  <si>
    <t>Garantía financieras (fianza)</t>
  </si>
  <si>
    <t>Seguro Responsabilidad Social</t>
  </si>
  <si>
    <t>Seguro de Vida</t>
  </si>
  <si>
    <t>IGV de gasto</t>
  </si>
  <si>
    <t>IGV al fisco</t>
  </si>
  <si>
    <t>Renta</t>
  </si>
  <si>
    <t>Préstamo al consorcio</t>
  </si>
  <si>
    <t xml:space="preserve">Interés </t>
  </si>
  <si>
    <t>Devolución de préstamo</t>
  </si>
  <si>
    <t>Flujo de caja</t>
  </si>
  <si>
    <t>Rentabilidad General</t>
  </si>
  <si>
    <t>IGV:</t>
  </si>
  <si>
    <t>IGV Fisco</t>
  </si>
  <si>
    <t>Renta:</t>
  </si>
  <si>
    <t>Utilidad Operativa</t>
  </si>
  <si>
    <t>Interés:</t>
  </si>
  <si>
    <t>Interés  TAMN (especial)</t>
  </si>
  <si>
    <t>Detalle por mes</t>
  </si>
  <si>
    <t>Carta fianza</t>
  </si>
  <si>
    <t>BCP</t>
  </si>
  <si>
    <t>Del total de importe.</t>
  </si>
  <si>
    <t>Importe Py</t>
  </si>
  <si>
    <t>Importe CF</t>
  </si>
  <si>
    <t>Costo de CF</t>
  </si>
  <si>
    <t>Ingreso Neto</t>
  </si>
  <si>
    <t>Ingreso neto mensual</t>
  </si>
  <si>
    <t xml:space="preserve">Jefe de Gestión Social </t>
  </si>
  <si>
    <t>UND</t>
  </si>
  <si>
    <t>CANT</t>
  </si>
  <si>
    <t>PU</t>
  </si>
  <si>
    <t>TOTAL</t>
  </si>
  <si>
    <t>Gastos De Personal</t>
  </si>
  <si>
    <t>Mes</t>
  </si>
  <si>
    <t>Gastos operativos</t>
  </si>
  <si>
    <t>Und</t>
  </si>
  <si>
    <t>COSTO  DIRECTO</t>
  </si>
  <si>
    <t>Gastos Generales</t>
  </si>
  <si>
    <t>Utilidades</t>
  </si>
  <si>
    <t>SUBTOTAL DE COSTOS</t>
  </si>
  <si>
    <t>PRESUPUESTO TOTAL DEL PROYECTO</t>
  </si>
  <si>
    <t>HUARMEY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</si>
</sst>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[$S/.-280A]#,##0"/>
    <numFmt numFmtId="167" formatCode="[$$-540A]#,##0_ ;[Red]\-[$$-540A]#,##0\ "/>
    <numFmt numFmtId="168" formatCode="_(* #,##0_);_(* \(#,##0\);_(* &quot;-&quot;??_);_(@_)"/>
    <numFmt numFmtId="169" formatCode="_-* #,##0.0_-;\-* #,##0.0_-;_-* &quot;-&quot;??_-;_-@_-"/>
    <numFmt numFmtId="170" formatCode="_-* #,##0.000_-;\-* #,##0.000_-;_-* &quot;-&quot;??_-;_-@_-"/>
  </numFmts>
  <fonts count="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indexed="64"/>
      </right>
      <top/>
      <bottom style="dashed">
        <color auto="1"/>
      </bottom>
      <diagonal/>
    </border>
    <border>
      <left style="thin">
        <color indexed="64"/>
      </left>
      <right/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 style="dashed">
        <color auto="1"/>
      </bottom>
      <diagonal/>
    </border>
    <border>
      <left style="dashed">
        <color theme="8"/>
      </left>
      <right/>
      <top style="dashed">
        <color theme="8"/>
      </top>
      <bottom style="dashed">
        <color theme="8"/>
      </bottom>
      <diagonal/>
    </border>
    <border>
      <left/>
      <right/>
      <top style="dashed">
        <color theme="8"/>
      </top>
      <bottom style="dashed">
        <color theme="8"/>
      </bottom>
      <diagonal/>
    </border>
    <border>
      <left/>
      <right style="dashed">
        <color theme="8"/>
      </right>
      <top style="dashed">
        <color theme="8"/>
      </top>
      <bottom style="dashed">
        <color theme="8"/>
      </bottom>
      <diagonal/>
    </border>
    <border>
      <left style="dashed">
        <color theme="8"/>
      </left>
      <right style="dashed">
        <color theme="8"/>
      </right>
      <top style="dashed">
        <color theme="8"/>
      </top>
      <bottom style="dashed">
        <color theme="8"/>
      </bottom>
      <diagonal/>
    </border>
    <border>
      <left style="dashed">
        <color theme="8"/>
      </left>
      <right style="dashed">
        <color theme="8"/>
      </right>
      <top style="dashed">
        <color theme="8"/>
      </top>
      <bottom/>
      <diagonal/>
    </border>
    <border>
      <left/>
      <right style="dashed">
        <color theme="8"/>
      </right>
      <top style="dashed">
        <color theme="8"/>
      </top>
      <bottom/>
      <diagonal/>
    </border>
    <border>
      <left style="dashed">
        <color theme="8"/>
      </left>
      <right style="dashed">
        <color theme="8"/>
      </right>
      <top/>
      <bottom/>
      <diagonal/>
    </border>
    <border>
      <left/>
      <right style="dashed">
        <color theme="8"/>
      </right>
      <top/>
      <bottom/>
      <diagonal/>
    </border>
    <border>
      <left style="dashed">
        <color theme="8"/>
      </left>
      <right style="dashed">
        <color theme="8"/>
      </right>
      <top/>
      <bottom style="dashed">
        <color theme="8"/>
      </bottom>
      <diagonal/>
    </border>
    <border>
      <left/>
      <right style="dashed">
        <color theme="8"/>
      </right>
      <top/>
      <bottom style="dashed">
        <color theme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2" xfId="0" applyBorder="1"/>
    <xf numFmtId="164" fontId="0" fillId="0" borderId="6" xfId="0" applyNumberFormat="1" applyBorder="1"/>
    <xf numFmtId="9" fontId="0" fillId="0" borderId="0" xfId="0" applyNumberFormat="1"/>
    <xf numFmtId="0" fontId="1" fillId="0" borderId="7" xfId="0" applyFont="1" applyBorder="1"/>
    <xf numFmtId="164" fontId="0" fillId="0" borderId="8" xfId="1" applyNumberFormat="1" applyFont="1" applyBorder="1"/>
    <xf numFmtId="164" fontId="0" fillId="0" borderId="0" xfId="0" applyNumberFormat="1"/>
    <xf numFmtId="0" fontId="1" fillId="0" borderId="9" xfId="0" applyFont="1" applyBorder="1"/>
    <xf numFmtId="0" fontId="0" fillId="0" borderId="10" xfId="0" applyBorder="1"/>
    <xf numFmtId="164" fontId="1" fillId="0" borderId="0" xfId="1" applyNumberFormat="1" applyFont="1"/>
    <xf numFmtId="164" fontId="0" fillId="0" borderId="0" xfId="1" applyNumberFormat="1" applyFont="1"/>
    <xf numFmtId="165" fontId="0" fillId="0" borderId="0" xfId="2" applyNumberFormat="1" applyFont="1"/>
    <xf numFmtId="0" fontId="2" fillId="0" borderId="14" xfId="0" applyFont="1" applyBorder="1"/>
    <xf numFmtId="0" fontId="2" fillId="0" borderId="12" xfId="0" applyFont="1" applyBorder="1"/>
    <xf numFmtId="0" fontId="2" fillId="2" borderId="0" xfId="0" applyFont="1" applyFill="1" applyAlignment="1">
      <alignment horizontal="left" indent="1"/>
    </xf>
    <xf numFmtId="0" fontId="0" fillId="2" borderId="0" xfId="0" applyFill="1"/>
    <xf numFmtId="164" fontId="1" fillId="0" borderId="0" xfId="1" applyNumberFormat="1" applyFont="1" applyBorder="1"/>
    <xf numFmtId="164" fontId="1" fillId="0" borderId="17" xfId="1" applyNumberFormat="1" applyFont="1" applyBorder="1"/>
    <xf numFmtId="164" fontId="0" fillId="0" borderId="3" xfId="1" applyNumberFormat="1" applyFont="1" applyBorder="1"/>
    <xf numFmtId="0" fontId="0" fillId="0" borderId="17" xfId="0" applyBorder="1"/>
    <xf numFmtId="0" fontId="2" fillId="2" borderId="0" xfId="0" applyFont="1" applyFill="1"/>
    <xf numFmtId="164" fontId="2" fillId="2" borderId="0" xfId="1" applyNumberFormat="1" applyFont="1" applyFill="1" applyBorder="1"/>
    <xf numFmtId="164" fontId="2" fillId="2" borderId="17" xfId="1" applyNumberFormat="1" applyFont="1" applyFill="1" applyBorder="1"/>
    <xf numFmtId="164" fontId="2" fillId="2" borderId="3" xfId="1" applyNumberFormat="1" applyFont="1" applyFill="1" applyBorder="1"/>
    <xf numFmtId="0" fontId="2" fillId="0" borderId="0" xfId="0" applyFont="1" applyAlignment="1">
      <alignment horizontal="left" indent="1"/>
    </xf>
    <xf numFmtId="164" fontId="2" fillId="0" borderId="0" xfId="0" applyNumberFormat="1" applyFont="1"/>
    <xf numFmtId="164" fontId="2" fillId="0" borderId="17" xfId="0" applyNumberFormat="1" applyFont="1" applyBorder="1"/>
    <xf numFmtId="164" fontId="2" fillId="0" borderId="3" xfId="1" applyNumberFormat="1" applyFont="1" applyBorder="1"/>
    <xf numFmtId="164" fontId="0" fillId="0" borderId="0" xfId="1" applyNumberFormat="1" applyFont="1" applyBorder="1"/>
    <xf numFmtId="164" fontId="0" fillId="0" borderId="17" xfId="1" applyNumberFormat="1" applyFont="1" applyBorder="1"/>
    <xf numFmtId="164" fontId="2" fillId="0" borderId="0" xfId="1" applyNumberFormat="1" applyFont="1" applyBorder="1"/>
    <xf numFmtId="164" fontId="2" fillId="0" borderId="17" xfId="1" applyNumberFormat="1" applyFont="1" applyBorder="1"/>
    <xf numFmtId="164" fontId="2" fillId="0" borderId="0" xfId="1" applyNumberFormat="1" applyFont="1"/>
    <xf numFmtId="0" fontId="0" fillId="0" borderId="0" xfId="0" applyAlignment="1">
      <alignment horizontal="left" indent="1"/>
    </xf>
    <xf numFmtId="0" fontId="1" fillId="0" borderId="0" xfId="0" applyFont="1" applyAlignment="1">
      <alignment horizontal="left" indent="1"/>
    </xf>
    <xf numFmtId="43" fontId="0" fillId="0" borderId="0" xfId="0" applyNumberFormat="1"/>
    <xf numFmtId="0" fontId="0" fillId="0" borderId="0" xfId="0" applyAlignment="1">
      <alignment horizontal="left"/>
    </xf>
    <xf numFmtId="0" fontId="4" fillId="0" borderId="0" xfId="0" applyFont="1"/>
    <xf numFmtId="164" fontId="3" fillId="0" borderId="18" xfId="1" applyNumberFormat="1" applyFont="1" applyBorder="1" applyAlignment="1">
      <alignment horizontal="center"/>
    </xf>
    <xf numFmtId="164" fontId="3" fillId="0" borderId="19" xfId="1" applyNumberFormat="1" applyFont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0" fontId="1" fillId="2" borderId="0" xfId="0" applyFont="1" applyFill="1"/>
    <xf numFmtId="166" fontId="0" fillId="0" borderId="1" xfId="0" applyNumberFormat="1" applyBorder="1"/>
    <xf numFmtId="167" fontId="0" fillId="0" borderId="1" xfId="0" applyNumberFormat="1" applyBorder="1"/>
    <xf numFmtId="164" fontId="0" fillId="0" borderId="1" xfId="1" applyNumberFormat="1" applyFont="1" applyBorder="1"/>
    <xf numFmtId="0" fontId="1" fillId="0" borderId="1" xfId="0" applyFont="1" applyBorder="1"/>
    <xf numFmtId="164" fontId="3" fillId="0" borderId="1" xfId="1" applyNumberFormat="1" applyFont="1" applyBorder="1"/>
    <xf numFmtId="0" fontId="0" fillId="0" borderId="1" xfId="0" applyBorder="1" applyAlignment="1">
      <alignment horizontal="left"/>
    </xf>
    <xf numFmtId="166" fontId="0" fillId="0" borderId="1" xfId="0" applyNumberFormat="1" applyBorder="1" applyAlignment="1">
      <alignment horizontal="center"/>
    </xf>
    <xf numFmtId="9" fontId="0" fillId="0" borderId="1" xfId="2" applyFont="1" applyBorder="1" applyAlignment="1">
      <alignment horizontal="center"/>
    </xf>
    <xf numFmtId="10" fontId="0" fillId="0" borderId="0" xfId="0" applyNumberFormat="1" applyAlignment="1">
      <alignment horizontal="left"/>
    </xf>
    <xf numFmtId="166" fontId="0" fillId="0" borderId="0" xfId="0" applyNumberFormat="1" applyAlignment="1">
      <alignment horizontal="center"/>
    </xf>
    <xf numFmtId="168" fontId="0" fillId="0" borderId="1" xfId="1" applyNumberFormat="1" applyFont="1" applyBorder="1"/>
    <xf numFmtId="10" fontId="0" fillId="0" borderId="2" xfId="0" applyNumberFormat="1" applyBorder="1"/>
    <xf numFmtId="0" fontId="0" fillId="0" borderId="6" xfId="0" applyBorder="1"/>
    <xf numFmtId="0" fontId="0" fillId="0" borderId="7" xfId="0" applyBorder="1"/>
    <xf numFmtId="168" fontId="0" fillId="0" borderId="0" xfId="1" applyNumberFormat="1" applyFont="1" applyBorder="1"/>
    <xf numFmtId="0" fontId="0" fillId="0" borderId="8" xfId="0" applyBorder="1"/>
    <xf numFmtId="9" fontId="0" fillId="3" borderId="7" xfId="0" applyNumberFormat="1" applyFill="1" applyBorder="1"/>
    <xf numFmtId="0" fontId="0" fillId="0" borderId="9" xfId="0" applyBorder="1"/>
    <xf numFmtId="168" fontId="0" fillId="2" borderId="10" xfId="1" applyNumberFormat="1" applyFont="1" applyFill="1" applyBorder="1"/>
    <xf numFmtId="0" fontId="0" fillId="0" borderId="11" xfId="0" applyBorder="1"/>
    <xf numFmtId="166" fontId="0" fillId="0" borderId="0" xfId="0" applyNumberFormat="1" applyBorder="1" applyAlignment="1">
      <alignment horizontal="center"/>
    </xf>
    <xf numFmtId="0" fontId="0" fillId="0" borderId="0" xfId="0" applyBorder="1"/>
    <xf numFmtId="164" fontId="2" fillId="0" borderId="0" xfId="0" applyNumberFormat="1" applyFont="1" applyBorder="1"/>
    <xf numFmtId="0" fontId="0" fillId="0" borderId="20" xfId="0" applyBorder="1"/>
    <xf numFmtId="0" fontId="0" fillId="0" borderId="21" xfId="0" applyBorder="1"/>
    <xf numFmtId="164" fontId="1" fillId="0" borderId="4" xfId="1" applyNumberFormat="1" applyFont="1" applyBorder="1"/>
    <xf numFmtId="0" fontId="0" fillId="0" borderId="4" xfId="0" applyBorder="1"/>
    <xf numFmtId="164" fontId="2" fillId="2" borderId="4" xfId="1" applyNumberFormat="1" applyFont="1" applyFill="1" applyBorder="1"/>
    <xf numFmtId="164" fontId="2" fillId="0" borderId="4" xfId="1" applyNumberFormat="1" applyFont="1" applyBorder="1"/>
    <xf numFmtId="164" fontId="0" fillId="0" borderId="4" xfId="1" applyNumberFormat="1" applyFont="1" applyBorder="1"/>
    <xf numFmtId="164" fontId="2" fillId="0" borderId="4" xfId="0" applyNumberFormat="1" applyFont="1" applyBorder="1"/>
    <xf numFmtId="0" fontId="0" fillId="0" borderId="22" xfId="0" applyBorder="1"/>
    <xf numFmtId="164" fontId="0" fillId="0" borderId="21" xfId="1" applyNumberFormat="1" applyFont="1" applyBorder="1"/>
    <xf numFmtId="0" fontId="0" fillId="0" borderId="3" xfId="0" applyBorder="1"/>
    <xf numFmtId="0" fontId="0" fillId="0" borderId="23" xfId="0" applyBorder="1"/>
    <xf numFmtId="164" fontId="2" fillId="0" borderId="19" xfId="0" applyNumberFormat="1" applyFont="1" applyBorder="1"/>
    <xf numFmtId="164" fontId="0" fillId="2" borderId="0" xfId="1" applyNumberFormat="1" applyFont="1" applyFill="1"/>
    <xf numFmtId="164" fontId="0" fillId="2" borderId="0" xfId="1" applyNumberFormat="1" applyFont="1" applyFill="1" applyBorder="1"/>
    <xf numFmtId="9" fontId="0" fillId="0" borderId="11" xfId="2" applyNumberFormat="1" applyFont="1" applyBorder="1"/>
    <xf numFmtId="0" fontId="2" fillId="4" borderId="27" xfId="0" applyFont="1" applyFill="1" applyBorder="1" applyAlignment="1">
      <alignment horizontal="center"/>
    </xf>
    <xf numFmtId="43" fontId="2" fillId="4" borderId="0" xfId="1" applyFont="1" applyFill="1" applyAlignment="1">
      <alignment horizontal="center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164" fontId="2" fillId="4" borderId="0" xfId="1" applyNumberFormat="1" applyFont="1" applyFill="1"/>
    <xf numFmtId="43" fontId="0" fillId="0" borderId="0" xfId="1" applyFont="1" applyAlignment="1">
      <alignment horizontal="center"/>
    </xf>
    <xf numFmtId="43" fontId="0" fillId="5" borderId="28" xfId="1" applyFont="1" applyFill="1" applyBorder="1" applyAlignment="1">
      <alignment horizontal="right"/>
    </xf>
    <xf numFmtId="0" fontId="0" fillId="5" borderId="28" xfId="0" applyFill="1" applyBorder="1" applyAlignment="1">
      <alignment horizontal="left" indent="1"/>
    </xf>
    <xf numFmtId="0" fontId="0" fillId="5" borderId="29" xfId="0" applyFill="1" applyBorder="1"/>
    <xf numFmtId="169" fontId="0" fillId="5" borderId="28" xfId="1" applyNumberFormat="1" applyFont="1" applyFill="1" applyBorder="1"/>
    <xf numFmtId="164" fontId="0" fillId="5" borderId="28" xfId="1" applyNumberFormat="1" applyFont="1" applyFill="1" applyBorder="1"/>
    <xf numFmtId="43" fontId="0" fillId="5" borderId="30" xfId="1" applyFont="1" applyFill="1" applyBorder="1" applyAlignment="1">
      <alignment horizontal="right"/>
    </xf>
    <xf numFmtId="0" fontId="0" fillId="5" borderId="30" xfId="0" applyFill="1" applyBorder="1" applyAlignment="1">
      <alignment horizontal="left" indent="1"/>
    </xf>
    <xf numFmtId="0" fontId="0" fillId="5" borderId="31" xfId="0" applyFill="1" applyBorder="1"/>
    <xf numFmtId="169" fontId="0" fillId="5" borderId="30" xfId="1" applyNumberFormat="1" applyFont="1" applyFill="1" applyBorder="1"/>
    <xf numFmtId="164" fontId="0" fillId="5" borderId="30" xfId="1" applyNumberFormat="1" applyFont="1" applyFill="1" applyBorder="1"/>
    <xf numFmtId="43" fontId="0" fillId="5" borderId="32" xfId="1" applyFont="1" applyFill="1" applyBorder="1" applyAlignment="1">
      <alignment horizontal="right"/>
    </xf>
    <xf numFmtId="0" fontId="0" fillId="5" borderId="32" xfId="0" applyFill="1" applyBorder="1" applyAlignment="1">
      <alignment horizontal="left" indent="1"/>
    </xf>
    <xf numFmtId="0" fontId="0" fillId="5" borderId="33" xfId="0" applyFill="1" applyBorder="1"/>
    <xf numFmtId="169" fontId="0" fillId="5" borderId="32" xfId="1" applyNumberFormat="1" applyFont="1" applyFill="1" applyBorder="1"/>
    <xf numFmtId="164" fontId="0" fillId="5" borderId="32" xfId="1" applyNumberFormat="1" applyFont="1" applyFill="1" applyBorder="1"/>
    <xf numFmtId="164" fontId="2" fillId="4" borderId="0" xfId="0" applyNumberFormat="1" applyFont="1" applyFill="1"/>
    <xf numFmtId="43" fontId="0" fillId="5" borderId="28" xfId="1" applyFont="1" applyFill="1" applyBorder="1"/>
    <xf numFmtId="43" fontId="0" fillId="5" borderId="30" xfId="1" applyFont="1" applyFill="1" applyBorder="1"/>
    <xf numFmtId="43" fontId="0" fillId="5" borderId="32" xfId="1" applyFont="1" applyFill="1" applyBorder="1"/>
    <xf numFmtId="0" fontId="2" fillId="0" borderId="0" xfId="0" applyFont="1"/>
    <xf numFmtId="0" fontId="2" fillId="0" borderId="0" xfId="0" applyFont="1" applyAlignment="1">
      <alignment horizontal="left"/>
    </xf>
    <xf numFmtId="0" fontId="0" fillId="5" borderId="24" xfId="0" applyFill="1" applyBorder="1" applyAlignment="1">
      <alignment horizontal="left" indent="2"/>
    </xf>
    <xf numFmtId="0" fontId="0" fillId="5" borderId="25" xfId="0" applyFill="1" applyBorder="1"/>
    <xf numFmtId="164" fontId="0" fillId="5" borderId="26" xfId="1" applyNumberFormat="1" applyFont="1" applyFill="1" applyBorder="1"/>
    <xf numFmtId="0" fontId="0" fillId="0" borderId="0" xfId="0" applyAlignment="1">
      <alignment horizontal="left" indent="2"/>
    </xf>
    <xf numFmtId="164" fontId="0" fillId="0" borderId="0" xfId="1" applyNumberFormat="1" applyFont="1" applyFill="1" applyBorder="1"/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164" fontId="5" fillId="4" borderId="0" xfId="0" applyNumberFormat="1" applyFont="1" applyFill="1" applyAlignment="1">
      <alignment vertical="center"/>
    </xf>
    <xf numFmtId="170" fontId="0" fillId="0" borderId="0" xfId="0" applyNumberFormat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3"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osé Miguel Mazuré" id="{2082FCF9-E3A6-4550-8722-B81041ACB83F}" userId="S::jmazure@mafirma.com.pe::375e7cd7-d42f-4fe8-8f23-ab22b6bec697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2-05-18T15:51:04.84" personId="{2082FCF9-E3A6-4550-8722-B81041ACB83F}" id="{701B4224-2C4F-40ED-8021-628A3A18B109}">
    <text>Por favor revisar que estos números estén bien.</text>
  </threadedComment>
  <threadedComment ref="B16" dT="2022-05-18T15:50:41.11" personId="{2082FCF9-E3A6-4550-8722-B81041ACB83F}" id="{F599100E-F96A-431D-8DAF-0F586EB23834}">
    <text>Unifiqué el concepto "Jefe de Gestión Social" en uno solo para enviarle el archivo al cliente. Por favor revisar si esta unificación no alteró las fórmulas del excel.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DE7EF-01CC-4A89-9CE4-B555288FFA55}">
  <dimension ref="B1:F5"/>
  <sheetViews>
    <sheetView showGridLines="0" workbookViewId="0">
      <selection activeCell="D3" sqref="D3"/>
    </sheetView>
  </sheetViews>
  <sheetFormatPr baseColWidth="10" defaultRowHeight="14.4" x14ac:dyDescent="0.3"/>
  <sheetData>
    <row r="1" spans="2:6" ht="15" thickBot="1" x14ac:dyDescent="0.35"/>
    <row r="2" spans="2:6" x14ac:dyDescent="0.3">
      <c r="B2" s="4" t="s">
        <v>61</v>
      </c>
      <c r="C2" s="5" t="s">
        <v>62</v>
      </c>
      <c r="D2" s="57">
        <v>1.8499999999999999E-2</v>
      </c>
      <c r="E2" s="5" t="s">
        <v>63</v>
      </c>
      <c r="F2" s="58"/>
    </row>
    <row r="3" spans="2:6" x14ac:dyDescent="0.3">
      <c r="B3" s="59"/>
      <c r="C3" t="s">
        <v>64</v>
      </c>
      <c r="D3" s="60">
        <v>4229000.6490430571</v>
      </c>
      <c r="F3" s="61"/>
    </row>
    <row r="4" spans="2:6" x14ac:dyDescent="0.3">
      <c r="B4" s="62">
        <v>0.1</v>
      </c>
      <c r="C4" t="s">
        <v>65</v>
      </c>
      <c r="D4" s="60">
        <f>+D3*B4</f>
        <v>422900.06490430573</v>
      </c>
      <c r="F4" s="61"/>
    </row>
    <row r="5" spans="2:6" ht="15" thickBot="1" x14ac:dyDescent="0.35">
      <c r="B5" s="63"/>
      <c r="C5" s="12" t="s">
        <v>66</v>
      </c>
      <c r="D5" s="64">
        <f>+D4*D2</f>
        <v>7823.651200729656</v>
      </c>
      <c r="E5" s="12"/>
      <c r="F5" s="6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7A9C5-963C-4A7C-8930-8F0E2F94B469}">
  <dimension ref="A1:AE79"/>
  <sheetViews>
    <sheetView showGridLines="0" topLeftCell="E1" zoomScale="60" zoomScaleNormal="60" workbookViewId="0">
      <selection activeCell="AD47" sqref="AD47"/>
    </sheetView>
  </sheetViews>
  <sheetFormatPr baseColWidth="10" defaultRowHeight="14.4" outlineLevelRow="1" x14ac:dyDescent="0.3"/>
  <cols>
    <col min="2" max="2" width="30.21875" customWidth="1"/>
    <col min="3" max="3" width="5.5546875" customWidth="1"/>
    <col min="4" max="4" width="12.77734375" bestFit="1" customWidth="1"/>
    <col min="5" max="8" width="11.6640625" bestFit="1" customWidth="1"/>
    <col min="9" max="9" width="12.77734375" bestFit="1" customWidth="1"/>
    <col min="10" max="12" width="11.6640625" bestFit="1" customWidth="1"/>
    <col min="13" max="17" width="13" bestFit="1" customWidth="1"/>
    <col min="18" max="29" width="13" customWidth="1"/>
    <col min="30" max="30" width="13.6640625" bestFit="1" customWidth="1"/>
  </cols>
  <sheetData>
    <row r="1" spans="2:31" ht="15" thickBot="1" x14ac:dyDescent="0.35"/>
    <row r="2" spans="2:31" x14ac:dyDescent="0.3">
      <c r="B2" s="4" t="s">
        <v>18</v>
      </c>
      <c r="C2" s="5"/>
      <c r="D2" s="6">
        <f>+AD10</f>
        <v>4229000.6490430571</v>
      </c>
      <c r="G2" s="1" t="s">
        <v>19</v>
      </c>
      <c r="H2" s="1"/>
      <c r="I2" s="7">
        <v>0.06</v>
      </c>
    </row>
    <row r="3" spans="2:31" x14ac:dyDescent="0.3">
      <c r="B3" s="8" t="s">
        <v>20</v>
      </c>
      <c r="D3" s="9">
        <f>+AD14+AD50</f>
        <v>3980463.24296537</v>
      </c>
      <c r="G3" s="1" t="s">
        <v>21</v>
      </c>
      <c r="H3" s="1"/>
      <c r="I3" s="10">
        <f>+D3</f>
        <v>3980463.24296537</v>
      </c>
    </row>
    <row r="4" spans="2:31" ht="15" thickBot="1" x14ac:dyDescent="0.35">
      <c r="B4" s="11" t="s">
        <v>22</v>
      </c>
      <c r="C4" s="12"/>
      <c r="D4" s="84">
        <f>+(D2-D3)/D2</f>
        <v>5.8769772507347919E-2</v>
      </c>
      <c r="G4" s="13" t="s">
        <v>67</v>
      </c>
      <c r="H4" s="13"/>
      <c r="I4" s="14">
        <v>3583898.8551212349</v>
      </c>
    </row>
    <row r="5" spans="2:31" x14ac:dyDescent="0.3">
      <c r="G5" s="15" t="s">
        <v>68</v>
      </c>
      <c r="H5" s="15"/>
      <c r="I5" s="14">
        <f>+I4/22</f>
        <v>162904.49341460157</v>
      </c>
    </row>
    <row r="8" spans="2:31" x14ac:dyDescent="0.3">
      <c r="D8" s="121">
        <v>2022</v>
      </c>
      <c r="E8" s="122"/>
      <c r="F8" s="122"/>
      <c r="G8" s="122"/>
      <c r="H8" s="122"/>
      <c r="I8" s="122"/>
      <c r="J8" s="122"/>
      <c r="K8" s="122"/>
      <c r="L8" s="121">
        <v>2023</v>
      </c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5"/>
      <c r="X8" s="121">
        <v>2024</v>
      </c>
      <c r="Y8" s="122"/>
      <c r="Z8" s="122"/>
      <c r="AA8" s="122"/>
      <c r="AB8" s="122"/>
      <c r="AC8" s="125"/>
      <c r="AD8" s="123" t="s">
        <v>23</v>
      </c>
    </row>
    <row r="9" spans="2:31" x14ac:dyDescent="0.3">
      <c r="D9" s="2" t="s">
        <v>24</v>
      </c>
      <c r="E9" s="2" t="s">
        <v>25</v>
      </c>
      <c r="F9" s="2" t="s">
        <v>26</v>
      </c>
      <c r="G9" s="2" t="s">
        <v>27</v>
      </c>
      <c r="H9" s="2" t="s">
        <v>28</v>
      </c>
      <c r="I9" s="2" t="s">
        <v>29</v>
      </c>
      <c r="J9" s="2" t="s">
        <v>30</v>
      </c>
      <c r="K9" s="17" t="s">
        <v>31</v>
      </c>
      <c r="L9" s="2" t="s">
        <v>32</v>
      </c>
      <c r="M9" s="2" t="s">
        <v>33</v>
      </c>
      <c r="N9" s="2" t="s">
        <v>34</v>
      </c>
      <c r="O9" s="2" t="s">
        <v>35</v>
      </c>
      <c r="P9" s="2" t="s">
        <v>24</v>
      </c>
      <c r="Q9" s="17" t="s">
        <v>25</v>
      </c>
      <c r="R9" s="2" t="s">
        <v>26</v>
      </c>
      <c r="S9" s="2" t="s">
        <v>27</v>
      </c>
      <c r="T9" s="2" t="s">
        <v>28</v>
      </c>
      <c r="U9" s="2" t="s">
        <v>29</v>
      </c>
      <c r="V9" s="2" t="s">
        <v>30</v>
      </c>
      <c r="W9" s="2" t="s">
        <v>31</v>
      </c>
      <c r="X9" s="2" t="s">
        <v>32</v>
      </c>
      <c r="Y9" s="2" t="s">
        <v>33</v>
      </c>
      <c r="Z9" s="2" t="s">
        <v>34</v>
      </c>
      <c r="AA9" s="2" t="s">
        <v>35</v>
      </c>
      <c r="AB9" s="2" t="s">
        <v>24</v>
      </c>
      <c r="AC9" s="2" t="s">
        <v>25</v>
      </c>
      <c r="AD9" s="124"/>
    </row>
    <row r="10" spans="2:31" x14ac:dyDescent="0.3">
      <c r="B10" s="18" t="s">
        <v>36</v>
      </c>
      <c r="C10" s="19"/>
      <c r="D10" s="25">
        <f>+D11+D12</f>
        <v>0</v>
      </c>
      <c r="E10" s="25">
        <f t="shared" ref="E10:Q10" si="0">+E11+E12</f>
        <v>0</v>
      </c>
      <c r="F10" s="25">
        <f t="shared" si="0"/>
        <v>0</v>
      </c>
      <c r="G10" s="25">
        <f t="shared" si="0"/>
        <v>0</v>
      </c>
      <c r="H10" s="25">
        <f t="shared" si="0"/>
        <v>192227.30222922986</v>
      </c>
      <c r="I10" s="25">
        <f t="shared" si="0"/>
        <v>192227.30222922986</v>
      </c>
      <c r="J10" s="25">
        <f t="shared" si="0"/>
        <v>192227.30222922986</v>
      </c>
      <c r="K10" s="25">
        <f t="shared" si="0"/>
        <v>192227.30222922986</v>
      </c>
      <c r="L10" s="73">
        <f t="shared" si="0"/>
        <v>192227.30222922986</v>
      </c>
      <c r="M10" s="25">
        <f t="shared" si="0"/>
        <v>192227.30222922986</v>
      </c>
      <c r="N10" s="25">
        <f t="shared" si="0"/>
        <v>192227.30222922986</v>
      </c>
      <c r="O10" s="25">
        <f t="shared" si="0"/>
        <v>192227.30222922986</v>
      </c>
      <c r="P10" s="25">
        <f t="shared" si="0"/>
        <v>192227.30222922986</v>
      </c>
      <c r="Q10" s="25">
        <f t="shared" si="0"/>
        <v>192227.30222922986</v>
      </c>
      <c r="R10" s="25">
        <f t="shared" ref="R10" si="1">+R11+R12</f>
        <v>192227.30222922986</v>
      </c>
      <c r="S10" s="25">
        <f t="shared" ref="S10" si="2">+S11+S12</f>
        <v>192227.30222922986</v>
      </c>
      <c r="T10" s="25">
        <f t="shared" ref="T10" si="3">+T11+T12</f>
        <v>192227.30222922986</v>
      </c>
      <c r="U10" s="25">
        <f t="shared" ref="U10" si="4">+U11+U12</f>
        <v>192227.30222922986</v>
      </c>
      <c r="V10" s="25">
        <f t="shared" ref="V10" si="5">+V11+V12</f>
        <v>192227.30222922986</v>
      </c>
      <c r="W10" s="26">
        <f t="shared" ref="W10" si="6">+W11+W12</f>
        <v>192227.30222922986</v>
      </c>
      <c r="X10" s="73">
        <f t="shared" ref="X10" si="7">+X11+X12</f>
        <v>192227.30222922986</v>
      </c>
      <c r="Y10" s="25">
        <f t="shared" ref="Y10" si="8">+Y11+Y12</f>
        <v>192227.30222922986</v>
      </c>
      <c r="Z10" s="25">
        <f t="shared" ref="Z10" si="9">+Z11+Z12</f>
        <v>192227.30222922986</v>
      </c>
      <c r="AA10" s="25">
        <f t="shared" ref="AA10" si="10">+AA11+AA12</f>
        <v>192227.30222922986</v>
      </c>
      <c r="AB10" s="25">
        <f t="shared" ref="AB10" si="11">+AB11+AB12</f>
        <v>192227.30222922986</v>
      </c>
      <c r="AC10" s="26">
        <f t="shared" ref="AC10" si="12">+AC11+AC12</f>
        <v>192227.30222922986</v>
      </c>
      <c r="AD10" s="27">
        <f>+SUM(E10:AC10)</f>
        <v>4229000.6490430571</v>
      </c>
    </row>
    <row r="11" spans="2:31" x14ac:dyDescent="0.3">
      <c r="B11" s="1" t="s">
        <v>37</v>
      </c>
      <c r="D11" s="20"/>
      <c r="E11" s="20"/>
      <c r="F11" s="20">
        <v>0</v>
      </c>
      <c r="G11" s="20">
        <f>+F11</f>
        <v>0</v>
      </c>
      <c r="H11" s="20">
        <f>+I5</f>
        <v>162904.49341460157</v>
      </c>
      <c r="I11" s="20">
        <f t="shared" ref="I11:Q11" si="13">+H11</f>
        <v>162904.49341460157</v>
      </c>
      <c r="J11" s="20">
        <f t="shared" si="13"/>
        <v>162904.49341460157</v>
      </c>
      <c r="K11" s="20">
        <f t="shared" si="13"/>
        <v>162904.49341460157</v>
      </c>
      <c r="L11" s="71">
        <f t="shared" si="13"/>
        <v>162904.49341460157</v>
      </c>
      <c r="M11" s="20">
        <f t="shared" si="13"/>
        <v>162904.49341460157</v>
      </c>
      <c r="N11" s="20">
        <f t="shared" si="13"/>
        <v>162904.49341460157</v>
      </c>
      <c r="O11" s="20">
        <f t="shared" si="13"/>
        <v>162904.49341460157</v>
      </c>
      <c r="P11" s="20">
        <f t="shared" si="13"/>
        <v>162904.49341460157</v>
      </c>
      <c r="Q11" s="20">
        <f t="shared" si="13"/>
        <v>162904.49341460157</v>
      </c>
      <c r="R11" s="20">
        <f t="shared" ref="R11:AC11" si="14">+Q11</f>
        <v>162904.49341460157</v>
      </c>
      <c r="S11" s="20">
        <f t="shared" si="14"/>
        <v>162904.49341460157</v>
      </c>
      <c r="T11" s="20">
        <f t="shared" si="14"/>
        <v>162904.49341460157</v>
      </c>
      <c r="U11" s="20">
        <f t="shared" si="14"/>
        <v>162904.49341460157</v>
      </c>
      <c r="V11" s="20">
        <f t="shared" si="14"/>
        <v>162904.49341460157</v>
      </c>
      <c r="W11" s="21">
        <f t="shared" si="14"/>
        <v>162904.49341460157</v>
      </c>
      <c r="X11" s="71">
        <f t="shared" si="14"/>
        <v>162904.49341460157</v>
      </c>
      <c r="Y11" s="20">
        <f t="shared" si="14"/>
        <v>162904.49341460157</v>
      </c>
      <c r="Z11" s="20">
        <f t="shared" si="14"/>
        <v>162904.49341460157</v>
      </c>
      <c r="AA11" s="20">
        <f t="shared" si="14"/>
        <v>162904.49341460157</v>
      </c>
      <c r="AB11" s="20">
        <f t="shared" si="14"/>
        <v>162904.49341460157</v>
      </c>
      <c r="AC11" s="21">
        <f t="shared" si="14"/>
        <v>162904.49341460157</v>
      </c>
      <c r="AD11" s="22">
        <f>+SUM(E11:AC11)</f>
        <v>3583898.8551212363</v>
      </c>
    </row>
    <row r="12" spans="2:31" x14ac:dyDescent="0.3">
      <c r="B12" s="1" t="s">
        <v>38</v>
      </c>
      <c r="D12" s="20">
        <f>+D11*1.18</f>
        <v>0</v>
      </c>
      <c r="E12" s="20">
        <f t="shared" ref="E12" si="15">+E11*1.18</f>
        <v>0</v>
      </c>
      <c r="F12" s="20">
        <f>+F11*0.18</f>
        <v>0</v>
      </c>
      <c r="G12" s="20">
        <f t="shared" ref="G12:Q12" si="16">+G11*0.18</f>
        <v>0</v>
      </c>
      <c r="H12" s="20">
        <f t="shared" si="16"/>
        <v>29322.808814628283</v>
      </c>
      <c r="I12" s="20">
        <f t="shared" si="16"/>
        <v>29322.808814628283</v>
      </c>
      <c r="J12" s="20">
        <f t="shared" si="16"/>
        <v>29322.808814628283</v>
      </c>
      <c r="K12" s="20">
        <f t="shared" si="16"/>
        <v>29322.808814628283</v>
      </c>
      <c r="L12" s="71">
        <f t="shared" si="16"/>
        <v>29322.808814628283</v>
      </c>
      <c r="M12" s="20">
        <f t="shared" si="16"/>
        <v>29322.808814628283</v>
      </c>
      <c r="N12" s="20">
        <f t="shared" si="16"/>
        <v>29322.808814628283</v>
      </c>
      <c r="O12" s="20">
        <f t="shared" si="16"/>
        <v>29322.808814628283</v>
      </c>
      <c r="P12" s="20">
        <f t="shared" si="16"/>
        <v>29322.808814628283</v>
      </c>
      <c r="Q12" s="20">
        <f t="shared" si="16"/>
        <v>29322.808814628283</v>
      </c>
      <c r="R12" s="20">
        <f t="shared" ref="R12" si="17">+R11*0.18</f>
        <v>29322.808814628283</v>
      </c>
      <c r="S12" s="20">
        <f t="shared" ref="S12" si="18">+S11*0.18</f>
        <v>29322.808814628283</v>
      </c>
      <c r="T12" s="20">
        <f t="shared" ref="T12" si="19">+T11*0.18</f>
        <v>29322.808814628283</v>
      </c>
      <c r="U12" s="20">
        <f t="shared" ref="U12" si="20">+U11*0.18</f>
        <v>29322.808814628283</v>
      </c>
      <c r="V12" s="20">
        <f t="shared" ref="V12" si="21">+V11*0.18</f>
        <v>29322.808814628283</v>
      </c>
      <c r="W12" s="21">
        <f t="shared" ref="W12" si="22">+W11*0.18</f>
        <v>29322.808814628283</v>
      </c>
      <c r="X12" s="71">
        <f t="shared" ref="X12" si="23">+X11*0.18</f>
        <v>29322.808814628283</v>
      </c>
      <c r="Y12" s="20">
        <f t="shared" ref="Y12" si="24">+Y11*0.18</f>
        <v>29322.808814628283</v>
      </c>
      <c r="Z12" s="20">
        <f t="shared" ref="Z12" si="25">+Z11*0.18</f>
        <v>29322.808814628283</v>
      </c>
      <c r="AA12" s="20">
        <f t="shared" ref="AA12" si="26">+AA11*0.18</f>
        <v>29322.808814628283</v>
      </c>
      <c r="AB12" s="20">
        <f t="shared" ref="AB12" si="27">+AB11*0.18</f>
        <v>29322.808814628283</v>
      </c>
      <c r="AC12" s="21">
        <f t="shared" ref="AC12" si="28">+AC11*0.18</f>
        <v>29322.808814628283</v>
      </c>
      <c r="AD12" s="22">
        <f>+SUM(E12:AC12)</f>
        <v>645101.79392182222</v>
      </c>
      <c r="AE12" s="10"/>
    </row>
    <row r="13" spans="2:31" x14ac:dyDescent="0.3">
      <c r="B13" s="1"/>
      <c r="K13" s="67"/>
      <c r="L13" s="72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23"/>
      <c r="X13" s="72"/>
      <c r="Y13" s="67"/>
      <c r="Z13" s="67"/>
      <c r="AA13" s="67"/>
      <c r="AB13" s="67"/>
      <c r="AC13" s="23"/>
      <c r="AD13" s="22"/>
    </row>
    <row r="14" spans="2:31" x14ac:dyDescent="0.3">
      <c r="B14" s="18" t="s">
        <v>39</v>
      </c>
      <c r="C14" s="24"/>
      <c r="D14" s="25"/>
      <c r="E14" s="25">
        <f>+E15+E23+E38+SUM(E41:E47)</f>
        <v>146137.09508352765</v>
      </c>
      <c r="F14" s="25">
        <f t="shared" ref="F14:AD14" si="29">+F15+F23+F38+SUM(F40:F47)</f>
        <v>139778.29666666666</v>
      </c>
      <c r="G14" s="25">
        <f t="shared" si="29"/>
        <v>139778.29666666666</v>
      </c>
      <c r="H14" s="25">
        <f t="shared" si="29"/>
        <v>139778.29666666666</v>
      </c>
      <c r="I14" s="25">
        <f t="shared" si="29"/>
        <v>139778.29666666666</v>
      </c>
      <c r="J14" s="25">
        <f t="shared" si="29"/>
        <v>153269.44589442018</v>
      </c>
      <c r="K14" s="25">
        <f t="shared" si="29"/>
        <v>157320.52548129496</v>
      </c>
      <c r="L14" s="73">
        <f t="shared" si="29"/>
        <v>157320.52548129496</v>
      </c>
      <c r="M14" s="25">
        <f t="shared" si="29"/>
        <v>157320.52548129496</v>
      </c>
      <c r="N14" s="25">
        <f t="shared" si="29"/>
        <v>157320.52548129496</v>
      </c>
      <c r="O14" s="25">
        <f t="shared" si="29"/>
        <v>157320.52548129496</v>
      </c>
      <c r="P14" s="25">
        <f t="shared" si="29"/>
        <v>157320.52548129496</v>
      </c>
      <c r="Q14" s="25">
        <f t="shared" si="29"/>
        <v>157320.52548129496</v>
      </c>
      <c r="R14" s="25">
        <f t="shared" si="29"/>
        <v>157320.52548129496</v>
      </c>
      <c r="S14" s="25">
        <f t="shared" si="29"/>
        <v>167017.47641364165</v>
      </c>
      <c r="T14" s="25">
        <f t="shared" si="29"/>
        <v>167792.55850567541</v>
      </c>
      <c r="U14" s="25">
        <f t="shared" si="29"/>
        <v>167792.55850567541</v>
      </c>
      <c r="V14" s="25">
        <f t="shared" si="29"/>
        <v>167792.55850567541</v>
      </c>
      <c r="W14" s="26">
        <f t="shared" si="29"/>
        <v>167792.55850567541</v>
      </c>
      <c r="X14" s="73">
        <f t="shared" si="29"/>
        <v>167792.55850567541</v>
      </c>
      <c r="Y14" s="25">
        <f t="shared" si="29"/>
        <v>167792.55850567541</v>
      </c>
      <c r="Z14" s="25">
        <f t="shared" si="29"/>
        <v>167792.55850567541</v>
      </c>
      <c r="AA14" s="25">
        <f t="shared" si="29"/>
        <v>167792.55850567541</v>
      </c>
      <c r="AB14" s="25">
        <f t="shared" si="29"/>
        <v>167792.55850567541</v>
      </c>
      <c r="AC14" s="26">
        <f t="shared" si="29"/>
        <v>154378.80850567541</v>
      </c>
      <c r="AD14" s="27">
        <f t="shared" si="29"/>
        <v>3948613.24296537</v>
      </c>
    </row>
    <row r="15" spans="2:31" x14ac:dyDescent="0.3">
      <c r="B15" s="28" t="s">
        <v>40</v>
      </c>
      <c r="E15" s="29">
        <f>+SUM(E16:E21)</f>
        <v>49050</v>
      </c>
      <c r="F15" s="36">
        <f t="shared" ref="F15:AC15" si="30">+SUM(F16:F21)</f>
        <v>67300</v>
      </c>
      <c r="G15" s="36">
        <f t="shared" si="30"/>
        <v>67300</v>
      </c>
      <c r="H15" s="36">
        <f t="shared" si="30"/>
        <v>67300</v>
      </c>
      <c r="I15" s="36">
        <f t="shared" si="30"/>
        <v>67300</v>
      </c>
      <c r="J15" s="36">
        <f t="shared" si="30"/>
        <v>67300</v>
      </c>
      <c r="K15" s="34">
        <f t="shared" si="30"/>
        <v>67300</v>
      </c>
      <c r="L15" s="74">
        <f t="shared" si="30"/>
        <v>67300</v>
      </c>
      <c r="M15" s="34">
        <f t="shared" si="30"/>
        <v>67300</v>
      </c>
      <c r="N15" s="34">
        <f t="shared" si="30"/>
        <v>67300</v>
      </c>
      <c r="O15" s="34">
        <f t="shared" si="30"/>
        <v>67300</v>
      </c>
      <c r="P15" s="34">
        <f t="shared" si="30"/>
        <v>67300</v>
      </c>
      <c r="Q15" s="34">
        <f t="shared" si="30"/>
        <v>67300</v>
      </c>
      <c r="R15" s="34">
        <f t="shared" si="30"/>
        <v>67300</v>
      </c>
      <c r="S15" s="34">
        <f t="shared" si="30"/>
        <v>67300</v>
      </c>
      <c r="T15" s="34">
        <f t="shared" si="30"/>
        <v>67300</v>
      </c>
      <c r="U15" s="34">
        <f t="shared" si="30"/>
        <v>67300</v>
      </c>
      <c r="V15" s="34">
        <f t="shared" si="30"/>
        <v>67300</v>
      </c>
      <c r="W15" s="35">
        <f t="shared" si="30"/>
        <v>67300</v>
      </c>
      <c r="X15" s="74">
        <f t="shared" si="30"/>
        <v>67300</v>
      </c>
      <c r="Y15" s="34">
        <f t="shared" si="30"/>
        <v>67300</v>
      </c>
      <c r="Z15" s="34">
        <f t="shared" si="30"/>
        <v>67300</v>
      </c>
      <c r="AA15" s="34">
        <f t="shared" si="30"/>
        <v>67300</v>
      </c>
      <c r="AB15" s="34">
        <f t="shared" si="30"/>
        <v>67300</v>
      </c>
      <c r="AC15" s="35">
        <f t="shared" si="30"/>
        <v>49050</v>
      </c>
      <c r="AD15" s="31">
        <f>+SUM(E15:AC15)</f>
        <v>1646000</v>
      </c>
    </row>
    <row r="16" spans="2:31" x14ac:dyDescent="0.3">
      <c r="B16" s="1" t="s">
        <v>69</v>
      </c>
      <c r="E16" s="32">
        <v>30800</v>
      </c>
      <c r="F16" s="32">
        <v>30800</v>
      </c>
      <c r="G16" s="32">
        <v>30800</v>
      </c>
      <c r="H16" s="32">
        <v>30800</v>
      </c>
      <c r="I16" s="32">
        <v>30800</v>
      </c>
      <c r="J16" s="32">
        <v>30800</v>
      </c>
      <c r="K16" s="32">
        <v>30800</v>
      </c>
      <c r="L16" s="32">
        <v>30800</v>
      </c>
      <c r="M16" s="32">
        <v>30800</v>
      </c>
      <c r="N16" s="32">
        <v>30800</v>
      </c>
      <c r="O16" s="32">
        <v>30800</v>
      </c>
      <c r="P16" s="32">
        <v>30800</v>
      </c>
      <c r="Q16" s="32">
        <v>30800</v>
      </c>
      <c r="R16" s="32">
        <v>30800</v>
      </c>
      <c r="S16" s="32">
        <v>30800</v>
      </c>
      <c r="T16" s="32">
        <v>30800</v>
      </c>
      <c r="U16" s="32">
        <v>30800</v>
      </c>
      <c r="V16" s="32">
        <v>30800</v>
      </c>
      <c r="W16" s="32">
        <v>30800</v>
      </c>
      <c r="X16" s="32">
        <v>30800</v>
      </c>
      <c r="Y16" s="32">
        <v>30800</v>
      </c>
      <c r="Z16" s="32">
        <v>30800</v>
      </c>
      <c r="AA16" s="32">
        <v>30800</v>
      </c>
      <c r="AB16" s="32">
        <v>30800</v>
      </c>
      <c r="AC16" s="32">
        <v>30800</v>
      </c>
      <c r="AD16" s="22">
        <f t="shared" ref="AD16:AD21" si="31">+SUM(E16:AC16)</f>
        <v>770000</v>
      </c>
    </row>
    <row r="17" spans="2:30" x14ac:dyDescent="0.3">
      <c r="B17" t="s">
        <v>0</v>
      </c>
      <c r="E17" s="32">
        <v>5000</v>
      </c>
      <c r="F17" s="32">
        <v>10000</v>
      </c>
      <c r="G17" s="32">
        <v>10000</v>
      </c>
      <c r="H17" s="32">
        <v>10000</v>
      </c>
      <c r="I17" s="32">
        <v>10000</v>
      </c>
      <c r="J17" s="32">
        <v>10000</v>
      </c>
      <c r="K17" s="32">
        <v>10000</v>
      </c>
      <c r="L17" s="75">
        <v>10000</v>
      </c>
      <c r="M17" s="32">
        <v>10000</v>
      </c>
      <c r="N17" s="32">
        <v>10000</v>
      </c>
      <c r="O17" s="32">
        <v>10000</v>
      </c>
      <c r="P17" s="32">
        <v>10000</v>
      </c>
      <c r="Q17" s="32">
        <v>10000</v>
      </c>
      <c r="R17" s="32">
        <v>10000</v>
      </c>
      <c r="S17" s="32">
        <v>10000</v>
      </c>
      <c r="T17" s="32">
        <v>10000</v>
      </c>
      <c r="U17" s="32">
        <v>10000</v>
      </c>
      <c r="V17" s="32">
        <v>10000</v>
      </c>
      <c r="W17" s="33">
        <v>10000</v>
      </c>
      <c r="X17" s="75">
        <v>10000</v>
      </c>
      <c r="Y17" s="32">
        <v>10000</v>
      </c>
      <c r="Z17" s="32">
        <v>10000</v>
      </c>
      <c r="AA17" s="32">
        <v>10000</v>
      </c>
      <c r="AB17" s="32">
        <v>10000</v>
      </c>
      <c r="AC17" s="33">
        <v>5000</v>
      </c>
      <c r="AD17" s="22">
        <f t="shared" si="31"/>
        <v>240000</v>
      </c>
    </row>
    <row r="18" spans="2:30" x14ac:dyDescent="0.3">
      <c r="B18" t="s">
        <v>1</v>
      </c>
      <c r="E18" s="32">
        <v>3500</v>
      </c>
      <c r="F18" s="32">
        <v>7000</v>
      </c>
      <c r="G18" s="32">
        <v>7000</v>
      </c>
      <c r="H18" s="32">
        <v>7000</v>
      </c>
      <c r="I18" s="32">
        <v>7000</v>
      </c>
      <c r="J18" s="32">
        <v>7000</v>
      </c>
      <c r="K18" s="32">
        <v>7000</v>
      </c>
      <c r="L18" s="75">
        <v>7000</v>
      </c>
      <c r="M18" s="32">
        <v>7000</v>
      </c>
      <c r="N18" s="32">
        <v>7000</v>
      </c>
      <c r="O18" s="32">
        <v>7000</v>
      </c>
      <c r="P18" s="32">
        <v>7000</v>
      </c>
      <c r="Q18" s="32">
        <v>7000</v>
      </c>
      <c r="R18" s="32">
        <v>7000</v>
      </c>
      <c r="S18" s="32">
        <v>7000</v>
      </c>
      <c r="T18" s="32">
        <v>7000</v>
      </c>
      <c r="U18" s="32">
        <v>7000</v>
      </c>
      <c r="V18" s="32">
        <v>7000</v>
      </c>
      <c r="W18" s="33">
        <v>7000</v>
      </c>
      <c r="X18" s="75">
        <v>7000</v>
      </c>
      <c r="Y18" s="32">
        <v>7000</v>
      </c>
      <c r="Z18" s="32">
        <v>7000</v>
      </c>
      <c r="AA18" s="32">
        <v>7000</v>
      </c>
      <c r="AB18" s="32">
        <v>7000</v>
      </c>
      <c r="AC18" s="33">
        <v>3500</v>
      </c>
      <c r="AD18" s="22">
        <f t="shared" si="31"/>
        <v>168000</v>
      </c>
    </row>
    <row r="19" spans="2:30" x14ac:dyDescent="0.3">
      <c r="B19" t="s">
        <v>2</v>
      </c>
      <c r="E19" s="32">
        <v>3250</v>
      </c>
      <c r="F19" s="32">
        <v>6500</v>
      </c>
      <c r="G19" s="32">
        <v>6500</v>
      </c>
      <c r="H19" s="32">
        <v>6500</v>
      </c>
      <c r="I19" s="32">
        <v>6500</v>
      </c>
      <c r="J19" s="32">
        <v>6500</v>
      </c>
      <c r="K19" s="32">
        <v>6500</v>
      </c>
      <c r="L19" s="75">
        <v>6500</v>
      </c>
      <c r="M19" s="32">
        <v>6500</v>
      </c>
      <c r="N19" s="32">
        <v>6500</v>
      </c>
      <c r="O19" s="32">
        <v>6500</v>
      </c>
      <c r="P19" s="32">
        <v>6500</v>
      </c>
      <c r="Q19" s="32">
        <v>6500</v>
      </c>
      <c r="R19" s="32">
        <v>6500</v>
      </c>
      <c r="S19" s="32">
        <v>6500</v>
      </c>
      <c r="T19" s="32">
        <v>6500</v>
      </c>
      <c r="U19" s="32">
        <v>6500</v>
      </c>
      <c r="V19" s="32">
        <v>6500</v>
      </c>
      <c r="W19" s="33">
        <v>6500</v>
      </c>
      <c r="X19" s="75">
        <v>6500</v>
      </c>
      <c r="Y19" s="32">
        <v>6500</v>
      </c>
      <c r="Z19" s="32">
        <v>6500</v>
      </c>
      <c r="AA19" s="32">
        <v>6500</v>
      </c>
      <c r="AB19" s="32">
        <v>6500</v>
      </c>
      <c r="AC19" s="33">
        <v>3250</v>
      </c>
      <c r="AD19" s="22">
        <f t="shared" si="31"/>
        <v>156000</v>
      </c>
    </row>
    <row r="20" spans="2:30" x14ac:dyDescent="0.3">
      <c r="B20" t="s">
        <v>3</v>
      </c>
      <c r="E20" s="32">
        <v>3250</v>
      </c>
      <c r="F20" s="32">
        <v>6500</v>
      </c>
      <c r="G20" s="32">
        <v>6500</v>
      </c>
      <c r="H20" s="32">
        <v>6500</v>
      </c>
      <c r="I20" s="32">
        <v>6500</v>
      </c>
      <c r="J20" s="32">
        <v>6500</v>
      </c>
      <c r="K20" s="32">
        <v>6500</v>
      </c>
      <c r="L20" s="75">
        <v>6500</v>
      </c>
      <c r="M20" s="32">
        <v>6500</v>
      </c>
      <c r="N20" s="32">
        <v>6500</v>
      </c>
      <c r="O20" s="32">
        <v>6500</v>
      </c>
      <c r="P20" s="32">
        <v>6500</v>
      </c>
      <c r="Q20" s="32">
        <v>6500</v>
      </c>
      <c r="R20" s="32">
        <v>6500</v>
      </c>
      <c r="S20" s="32">
        <v>6500</v>
      </c>
      <c r="T20" s="32">
        <v>6500</v>
      </c>
      <c r="U20" s="32">
        <v>6500</v>
      </c>
      <c r="V20" s="32">
        <v>6500</v>
      </c>
      <c r="W20" s="33">
        <v>6500</v>
      </c>
      <c r="X20" s="75">
        <v>6500</v>
      </c>
      <c r="Y20" s="32">
        <v>6500</v>
      </c>
      <c r="Z20" s="32">
        <v>6500</v>
      </c>
      <c r="AA20" s="32">
        <v>6500</v>
      </c>
      <c r="AB20" s="32">
        <v>6500</v>
      </c>
      <c r="AC20" s="33">
        <v>3250</v>
      </c>
      <c r="AD20" s="22">
        <f t="shared" si="31"/>
        <v>156000</v>
      </c>
    </row>
    <row r="21" spans="2:30" x14ac:dyDescent="0.3">
      <c r="B21" t="s">
        <v>4</v>
      </c>
      <c r="E21" s="32">
        <v>3250</v>
      </c>
      <c r="F21" s="32">
        <v>6500</v>
      </c>
      <c r="G21" s="32">
        <v>6500</v>
      </c>
      <c r="H21" s="32">
        <v>6500</v>
      </c>
      <c r="I21" s="32">
        <v>6500</v>
      </c>
      <c r="J21" s="32">
        <v>6500</v>
      </c>
      <c r="K21" s="32">
        <v>6500</v>
      </c>
      <c r="L21" s="75">
        <v>6500</v>
      </c>
      <c r="M21" s="32">
        <v>6500</v>
      </c>
      <c r="N21" s="32">
        <v>6500</v>
      </c>
      <c r="O21" s="32">
        <v>6500</v>
      </c>
      <c r="P21" s="32">
        <v>6500</v>
      </c>
      <c r="Q21" s="32">
        <v>6500</v>
      </c>
      <c r="R21" s="32">
        <v>6500</v>
      </c>
      <c r="S21" s="32">
        <v>6500</v>
      </c>
      <c r="T21" s="32">
        <v>6500</v>
      </c>
      <c r="U21" s="32">
        <v>6500</v>
      </c>
      <c r="V21" s="32">
        <v>6500</v>
      </c>
      <c r="W21" s="33">
        <v>6500</v>
      </c>
      <c r="X21" s="75">
        <v>6500</v>
      </c>
      <c r="Y21" s="32">
        <v>6500</v>
      </c>
      <c r="Z21" s="32">
        <v>6500</v>
      </c>
      <c r="AA21" s="32">
        <v>6500</v>
      </c>
      <c r="AB21" s="32">
        <v>6500</v>
      </c>
      <c r="AC21" s="33">
        <v>3250</v>
      </c>
      <c r="AD21" s="22">
        <f t="shared" si="31"/>
        <v>156000</v>
      </c>
    </row>
    <row r="22" spans="2:30" x14ac:dyDescent="0.3">
      <c r="K22" s="67"/>
      <c r="L22" s="72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23"/>
      <c r="X22" s="72"/>
      <c r="Y22" s="67"/>
      <c r="Z22" s="67"/>
      <c r="AA22" s="67"/>
      <c r="AB22" s="67"/>
      <c r="AC22" s="23"/>
      <c r="AD22" s="22"/>
    </row>
    <row r="23" spans="2:30" x14ac:dyDescent="0.3">
      <c r="B23" s="28" t="s">
        <v>41</v>
      </c>
      <c r="E23" s="29">
        <f>+SUM(E24:E36)</f>
        <v>66718</v>
      </c>
      <c r="F23" s="29">
        <f t="shared" ref="F23:Q23" si="32">+SUM(F24:F36)</f>
        <v>53701</v>
      </c>
      <c r="G23" s="29">
        <f t="shared" si="32"/>
        <v>53701</v>
      </c>
      <c r="H23" s="29">
        <f t="shared" si="32"/>
        <v>53701</v>
      </c>
      <c r="I23" s="29">
        <f t="shared" si="32"/>
        <v>53701</v>
      </c>
      <c r="J23" s="29">
        <f t="shared" si="32"/>
        <v>53701</v>
      </c>
      <c r="K23" s="68">
        <f t="shared" si="32"/>
        <v>53701</v>
      </c>
      <c r="L23" s="76">
        <f t="shared" si="32"/>
        <v>53701</v>
      </c>
      <c r="M23" s="68">
        <f t="shared" si="32"/>
        <v>53701</v>
      </c>
      <c r="N23" s="68">
        <f t="shared" si="32"/>
        <v>53701</v>
      </c>
      <c r="O23" s="68">
        <f t="shared" si="32"/>
        <v>53701</v>
      </c>
      <c r="P23" s="68">
        <f t="shared" si="32"/>
        <v>53701</v>
      </c>
      <c r="Q23" s="68">
        <f t="shared" si="32"/>
        <v>53701</v>
      </c>
      <c r="R23" s="68">
        <f t="shared" ref="R23" si="33">+SUM(R24:R36)</f>
        <v>53701</v>
      </c>
      <c r="S23" s="68">
        <f t="shared" ref="S23" si="34">+SUM(S24:S36)</f>
        <v>53701</v>
      </c>
      <c r="T23" s="68">
        <f t="shared" ref="T23" si="35">+SUM(T24:T36)</f>
        <v>53701</v>
      </c>
      <c r="U23" s="68">
        <f t="shared" ref="U23" si="36">+SUM(U24:U36)</f>
        <v>53701</v>
      </c>
      <c r="V23" s="68">
        <f t="shared" ref="V23" si="37">+SUM(V24:V36)</f>
        <v>53701</v>
      </c>
      <c r="W23" s="30">
        <f t="shared" ref="W23" si="38">+SUM(W24:W36)</f>
        <v>53701</v>
      </c>
      <c r="X23" s="76">
        <f t="shared" ref="X23" si="39">+SUM(X24:X36)</f>
        <v>53701</v>
      </c>
      <c r="Y23" s="68">
        <f t="shared" ref="Y23" si="40">+SUM(Y24:Y36)</f>
        <v>53701</v>
      </c>
      <c r="Z23" s="68">
        <f t="shared" ref="Z23" si="41">+SUM(Z24:Z36)</f>
        <v>53701</v>
      </c>
      <c r="AA23" s="68">
        <f t="shared" ref="AA23" si="42">+SUM(AA24:AA36)</f>
        <v>53701</v>
      </c>
      <c r="AB23" s="68">
        <f t="shared" ref="AB23" si="43">+SUM(AB24:AB36)</f>
        <v>53701</v>
      </c>
      <c r="AC23" s="30">
        <f t="shared" ref="AC23" si="44">+SUM(AC24:AC36)</f>
        <v>53701</v>
      </c>
      <c r="AD23" s="31">
        <f t="shared" ref="AD23" si="45">+SUM(AD24:AD36)</f>
        <v>1355542</v>
      </c>
    </row>
    <row r="24" spans="2:30" x14ac:dyDescent="0.3">
      <c r="B24" t="s">
        <v>5</v>
      </c>
      <c r="E24" s="32">
        <v>2400</v>
      </c>
      <c r="F24" s="32">
        <v>2400</v>
      </c>
      <c r="G24" s="32">
        <v>2400</v>
      </c>
      <c r="H24" s="32">
        <v>2400</v>
      </c>
      <c r="I24" s="32">
        <v>2400</v>
      </c>
      <c r="J24" s="32">
        <v>2400</v>
      </c>
      <c r="K24" s="32">
        <v>2400</v>
      </c>
      <c r="L24" s="75">
        <v>2400</v>
      </c>
      <c r="M24" s="32">
        <v>2400</v>
      </c>
      <c r="N24" s="32">
        <v>2400</v>
      </c>
      <c r="O24" s="32">
        <v>2400</v>
      </c>
      <c r="P24" s="32">
        <v>2400</v>
      </c>
      <c r="Q24" s="32">
        <v>2400</v>
      </c>
      <c r="R24" s="32">
        <v>2400</v>
      </c>
      <c r="S24" s="32">
        <v>2400</v>
      </c>
      <c r="T24" s="32">
        <v>2400</v>
      </c>
      <c r="U24" s="32">
        <v>2400</v>
      </c>
      <c r="V24" s="32">
        <v>2400</v>
      </c>
      <c r="W24" s="33">
        <v>2400</v>
      </c>
      <c r="X24" s="75">
        <v>2400</v>
      </c>
      <c r="Y24" s="32">
        <v>2400</v>
      </c>
      <c r="Z24" s="32">
        <v>2400</v>
      </c>
      <c r="AA24" s="32">
        <v>2400</v>
      </c>
      <c r="AB24" s="32">
        <v>2400</v>
      </c>
      <c r="AC24" s="33">
        <v>2400</v>
      </c>
      <c r="AD24" s="22">
        <f t="shared" ref="AD24:AD35" si="46">+SUM(E24:AC24)</f>
        <v>60000</v>
      </c>
    </row>
    <row r="25" spans="2:30" x14ac:dyDescent="0.3">
      <c r="B25" t="s">
        <v>6</v>
      </c>
      <c r="E25" s="32">
        <v>17100</v>
      </c>
      <c r="F25" s="32">
        <v>17100</v>
      </c>
      <c r="G25" s="32">
        <v>17100</v>
      </c>
      <c r="H25" s="32">
        <v>17100</v>
      </c>
      <c r="I25" s="32">
        <v>17100</v>
      </c>
      <c r="J25" s="32">
        <v>17100</v>
      </c>
      <c r="K25" s="32">
        <v>17100</v>
      </c>
      <c r="L25" s="75">
        <v>17100</v>
      </c>
      <c r="M25" s="32">
        <v>17100</v>
      </c>
      <c r="N25" s="32">
        <v>17100</v>
      </c>
      <c r="O25" s="32">
        <v>17100</v>
      </c>
      <c r="P25" s="32">
        <v>17100</v>
      </c>
      <c r="Q25" s="32">
        <v>17100</v>
      </c>
      <c r="R25" s="32">
        <v>17100</v>
      </c>
      <c r="S25" s="32">
        <v>17100</v>
      </c>
      <c r="T25" s="32">
        <v>17100</v>
      </c>
      <c r="U25" s="32">
        <v>17100</v>
      </c>
      <c r="V25" s="32">
        <v>17100</v>
      </c>
      <c r="W25" s="33">
        <v>17100</v>
      </c>
      <c r="X25" s="75">
        <v>17100</v>
      </c>
      <c r="Y25" s="32">
        <v>17100</v>
      </c>
      <c r="Z25" s="32">
        <v>17100</v>
      </c>
      <c r="AA25" s="32">
        <v>17100</v>
      </c>
      <c r="AB25" s="32">
        <v>17100</v>
      </c>
      <c r="AC25" s="33">
        <v>17100</v>
      </c>
      <c r="AD25" s="22">
        <f t="shared" si="46"/>
        <v>427500</v>
      </c>
    </row>
    <row r="26" spans="2:30" x14ac:dyDescent="0.3">
      <c r="B26" t="s">
        <v>7</v>
      </c>
      <c r="E26" s="32">
        <v>3125</v>
      </c>
      <c r="F26" s="32">
        <v>3125</v>
      </c>
      <c r="G26" s="32">
        <v>3125</v>
      </c>
      <c r="H26" s="32">
        <v>3125</v>
      </c>
      <c r="I26" s="32">
        <v>3125</v>
      </c>
      <c r="J26" s="32">
        <v>3125</v>
      </c>
      <c r="K26" s="32">
        <v>3125</v>
      </c>
      <c r="L26" s="75">
        <v>3125</v>
      </c>
      <c r="M26" s="32">
        <v>3125</v>
      </c>
      <c r="N26" s="32">
        <v>3125</v>
      </c>
      <c r="O26" s="32">
        <v>3125</v>
      </c>
      <c r="P26" s="32">
        <v>3125</v>
      </c>
      <c r="Q26" s="32">
        <v>3125</v>
      </c>
      <c r="R26" s="32">
        <v>3125</v>
      </c>
      <c r="S26" s="32">
        <v>3125</v>
      </c>
      <c r="T26" s="32">
        <v>3125</v>
      </c>
      <c r="U26" s="32">
        <v>3125</v>
      </c>
      <c r="V26" s="32">
        <v>3125</v>
      </c>
      <c r="W26" s="33">
        <v>3125</v>
      </c>
      <c r="X26" s="75">
        <v>3125</v>
      </c>
      <c r="Y26" s="32">
        <v>3125</v>
      </c>
      <c r="Z26" s="32">
        <v>3125</v>
      </c>
      <c r="AA26" s="32">
        <v>3125</v>
      </c>
      <c r="AB26" s="32">
        <v>3125</v>
      </c>
      <c r="AC26" s="33">
        <v>3125</v>
      </c>
      <c r="AD26" s="22">
        <f t="shared" si="46"/>
        <v>78125</v>
      </c>
    </row>
    <row r="27" spans="2:30" x14ac:dyDescent="0.3">
      <c r="B27" t="s">
        <v>8</v>
      </c>
      <c r="E27" s="32">
        <v>26000</v>
      </c>
      <c r="F27" s="32">
        <v>26000</v>
      </c>
      <c r="G27" s="32">
        <v>26000</v>
      </c>
      <c r="H27" s="32">
        <v>26000</v>
      </c>
      <c r="I27" s="32">
        <v>26000</v>
      </c>
      <c r="J27" s="32">
        <v>26000</v>
      </c>
      <c r="K27" s="32">
        <v>26000</v>
      </c>
      <c r="L27" s="75">
        <v>26000</v>
      </c>
      <c r="M27" s="32">
        <v>26000</v>
      </c>
      <c r="N27" s="32">
        <v>26000</v>
      </c>
      <c r="O27" s="32">
        <v>26000</v>
      </c>
      <c r="P27" s="32">
        <v>26000</v>
      </c>
      <c r="Q27" s="32">
        <v>26000</v>
      </c>
      <c r="R27" s="32">
        <v>26000</v>
      </c>
      <c r="S27" s="32">
        <v>26000</v>
      </c>
      <c r="T27" s="32">
        <v>26000</v>
      </c>
      <c r="U27" s="32">
        <v>26000</v>
      </c>
      <c r="V27" s="32">
        <v>26000</v>
      </c>
      <c r="W27" s="33">
        <v>26000</v>
      </c>
      <c r="X27" s="75">
        <v>26000</v>
      </c>
      <c r="Y27" s="32">
        <v>26000</v>
      </c>
      <c r="Z27" s="32">
        <v>26000</v>
      </c>
      <c r="AA27" s="32">
        <v>26000</v>
      </c>
      <c r="AB27" s="32">
        <v>26000</v>
      </c>
      <c r="AC27" s="33">
        <v>26000</v>
      </c>
      <c r="AD27" s="22">
        <f t="shared" si="46"/>
        <v>650000</v>
      </c>
    </row>
    <row r="28" spans="2:30" x14ac:dyDescent="0.3">
      <c r="B28" t="s">
        <v>9</v>
      </c>
      <c r="E28" s="32">
        <v>1250</v>
      </c>
      <c r="F28" s="32">
        <v>1250</v>
      </c>
      <c r="G28" s="32">
        <v>1250</v>
      </c>
      <c r="H28" s="32">
        <v>1250</v>
      </c>
      <c r="I28" s="32">
        <v>1250</v>
      </c>
      <c r="J28" s="32">
        <v>1250</v>
      </c>
      <c r="K28" s="32">
        <v>1250</v>
      </c>
      <c r="L28" s="75">
        <v>1250</v>
      </c>
      <c r="M28" s="32">
        <v>1250</v>
      </c>
      <c r="N28" s="32">
        <v>1250</v>
      </c>
      <c r="O28" s="32">
        <v>1250</v>
      </c>
      <c r="P28" s="32">
        <v>1250</v>
      </c>
      <c r="Q28" s="32">
        <v>1250</v>
      </c>
      <c r="R28" s="32">
        <v>1250</v>
      </c>
      <c r="S28" s="32">
        <v>1250</v>
      </c>
      <c r="T28" s="32">
        <v>1250</v>
      </c>
      <c r="U28" s="32">
        <v>1250</v>
      </c>
      <c r="V28" s="32">
        <v>1250</v>
      </c>
      <c r="W28" s="33">
        <v>1250</v>
      </c>
      <c r="X28" s="75">
        <v>1250</v>
      </c>
      <c r="Y28" s="32">
        <v>1250</v>
      </c>
      <c r="Z28" s="32">
        <v>1250</v>
      </c>
      <c r="AA28" s="32">
        <v>1250</v>
      </c>
      <c r="AB28" s="32">
        <v>1250</v>
      </c>
      <c r="AC28" s="33">
        <v>1250</v>
      </c>
      <c r="AD28" s="22">
        <f t="shared" si="46"/>
        <v>31250</v>
      </c>
    </row>
    <row r="29" spans="2:30" x14ac:dyDescent="0.3">
      <c r="B29" t="s">
        <v>10</v>
      </c>
      <c r="E29" s="32">
        <v>1126</v>
      </c>
      <c r="F29" s="32">
        <v>1126</v>
      </c>
      <c r="G29" s="32">
        <v>1126</v>
      </c>
      <c r="H29" s="32">
        <v>1126</v>
      </c>
      <c r="I29" s="32">
        <v>1126</v>
      </c>
      <c r="J29" s="32">
        <v>1126</v>
      </c>
      <c r="K29" s="32">
        <v>1126</v>
      </c>
      <c r="L29" s="75">
        <v>1126</v>
      </c>
      <c r="M29" s="32">
        <v>1126</v>
      </c>
      <c r="N29" s="32">
        <v>1126</v>
      </c>
      <c r="O29" s="32">
        <v>1126</v>
      </c>
      <c r="P29" s="32">
        <v>1126</v>
      </c>
      <c r="Q29" s="32">
        <v>1126</v>
      </c>
      <c r="R29" s="32">
        <v>1126</v>
      </c>
      <c r="S29" s="32">
        <v>1126</v>
      </c>
      <c r="T29" s="32">
        <v>1126</v>
      </c>
      <c r="U29" s="32">
        <v>1126</v>
      </c>
      <c r="V29" s="32">
        <v>1126</v>
      </c>
      <c r="W29" s="33">
        <v>1126</v>
      </c>
      <c r="X29" s="75">
        <v>1126</v>
      </c>
      <c r="Y29" s="32">
        <v>1126</v>
      </c>
      <c r="Z29" s="32">
        <v>1126</v>
      </c>
      <c r="AA29" s="32">
        <v>1126</v>
      </c>
      <c r="AB29" s="32">
        <v>1126</v>
      </c>
      <c r="AC29" s="33">
        <v>1126</v>
      </c>
      <c r="AD29" s="22">
        <f t="shared" si="46"/>
        <v>28150</v>
      </c>
    </row>
    <row r="30" spans="2:30" x14ac:dyDescent="0.3">
      <c r="B30" t="s">
        <v>11</v>
      </c>
      <c r="E30" s="32">
        <v>900</v>
      </c>
      <c r="F30" s="32">
        <v>900</v>
      </c>
      <c r="G30" s="32">
        <v>900</v>
      </c>
      <c r="H30" s="32">
        <v>900</v>
      </c>
      <c r="I30" s="32">
        <v>900</v>
      </c>
      <c r="J30" s="32">
        <v>900</v>
      </c>
      <c r="K30" s="32">
        <v>900</v>
      </c>
      <c r="L30" s="75">
        <v>900</v>
      </c>
      <c r="M30" s="32">
        <v>900</v>
      </c>
      <c r="N30" s="32">
        <v>900</v>
      </c>
      <c r="O30" s="32">
        <v>900</v>
      </c>
      <c r="P30" s="32">
        <v>900</v>
      </c>
      <c r="Q30" s="32">
        <v>900</v>
      </c>
      <c r="R30" s="32">
        <v>900</v>
      </c>
      <c r="S30" s="32">
        <v>900</v>
      </c>
      <c r="T30" s="32">
        <v>900</v>
      </c>
      <c r="U30" s="32">
        <v>900</v>
      </c>
      <c r="V30" s="32">
        <v>900</v>
      </c>
      <c r="W30" s="33">
        <v>900</v>
      </c>
      <c r="X30" s="75">
        <v>900</v>
      </c>
      <c r="Y30" s="32">
        <v>900</v>
      </c>
      <c r="Z30" s="32">
        <v>900</v>
      </c>
      <c r="AA30" s="32">
        <v>900</v>
      </c>
      <c r="AB30" s="32">
        <v>900</v>
      </c>
      <c r="AC30" s="33">
        <v>900</v>
      </c>
      <c r="AD30" s="22">
        <f t="shared" si="46"/>
        <v>22500</v>
      </c>
    </row>
    <row r="31" spans="2:30" x14ac:dyDescent="0.3">
      <c r="B31" t="s">
        <v>12</v>
      </c>
      <c r="E31" s="32">
        <v>11000</v>
      </c>
      <c r="F31" s="32"/>
      <c r="G31" s="32"/>
      <c r="H31" s="32"/>
      <c r="I31" s="32"/>
      <c r="J31" s="32"/>
      <c r="K31" s="32"/>
      <c r="L31" s="75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3"/>
      <c r="X31" s="75"/>
      <c r="Y31" s="32"/>
      <c r="Z31" s="32"/>
      <c r="AA31" s="32"/>
      <c r="AB31" s="32"/>
      <c r="AC31" s="33"/>
      <c r="AD31" s="22">
        <f t="shared" si="46"/>
        <v>11000</v>
      </c>
    </row>
    <row r="32" spans="2:30" x14ac:dyDescent="0.3">
      <c r="B32" t="s">
        <v>13</v>
      </c>
      <c r="E32" s="32">
        <v>469</v>
      </c>
      <c r="F32" s="32"/>
      <c r="G32" s="32"/>
      <c r="H32" s="32"/>
      <c r="I32" s="32"/>
      <c r="J32" s="32"/>
      <c r="K32" s="32"/>
      <c r="L32" s="75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3"/>
      <c r="X32" s="75"/>
      <c r="Y32" s="32"/>
      <c r="Z32" s="32"/>
      <c r="AA32" s="32"/>
      <c r="AB32" s="32"/>
      <c r="AC32" s="33"/>
      <c r="AD32" s="22">
        <f t="shared" si="46"/>
        <v>469</v>
      </c>
    </row>
    <row r="33" spans="2:31" x14ac:dyDescent="0.3">
      <c r="B33" t="s">
        <v>14</v>
      </c>
      <c r="E33" s="32">
        <v>430</v>
      </c>
      <c r="F33" s="32"/>
      <c r="G33" s="32"/>
      <c r="H33" s="32"/>
      <c r="I33" s="32"/>
      <c r="J33" s="32"/>
      <c r="K33" s="32"/>
      <c r="L33" s="75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3"/>
      <c r="X33" s="75"/>
      <c r="Y33" s="32"/>
      <c r="Z33" s="32"/>
      <c r="AA33" s="32"/>
      <c r="AB33" s="32"/>
      <c r="AC33" s="33"/>
      <c r="AD33" s="22">
        <f t="shared" si="46"/>
        <v>430</v>
      </c>
    </row>
    <row r="34" spans="2:31" x14ac:dyDescent="0.3">
      <c r="B34" t="s">
        <v>15</v>
      </c>
      <c r="E34" s="32">
        <v>618</v>
      </c>
      <c r="F34" s="32"/>
      <c r="G34" s="32"/>
      <c r="H34" s="32"/>
      <c r="I34" s="32"/>
      <c r="J34" s="32"/>
      <c r="K34" s="32"/>
      <c r="L34" s="75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3"/>
      <c r="X34" s="75"/>
      <c r="Y34" s="32"/>
      <c r="Z34" s="32"/>
      <c r="AA34" s="32"/>
      <c r="AB34" s="32"/>
      <c r="AC34" s="33"/>
      <c r="AD34" s="22">
        <f t="shared" si="46"/>
        <v>618</v>
      </c>
    </row>
    <row r="35" spans="2:31" x14ac:dyDescent="0.3">
      <c r="B35" t="s">
        <v>16</v>
      </c>
      <c r="E35" s="32">
        <v>500</v>
      </c>
      <c r="F35" s="32"/>
      <c r="G35" s="32"/>
      <c r="H35" s="32"/>
      <c r="I35" s="32"/>
      <c r="J35" s="32"/>
      <c r="K35" s="32"/>
      <c r="L35" s="75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3"/>
      <c r="X35" s="75"/>
      <c r="Y35" s="32"/>
      <c r="Z35" s="32"/>
      <c r="AA35" s="32"/>
      <c r="AB35" s="32"/>
      <c r="AC35" s="33"/>
      <c r="AD35" s="22">
        <f t="shared" si="46"/>
        <v>500</v>
      </c>
    </row>
    <row r="36" spans="2:31" x14ac:dyDescent="0.3">
      <c r="B36" t="s">
        <v>17</v>
      </c>
      <c r="E36" s="32">
        <v>1800</v>
      </c>
      <c r="F36" s="32">
        <v>1800</v>
      </c>
      <c r="G36" s="32">
        <v>1800</v>
      </c>
      <c r="H36" s="32">
        <v>1800</v>
      </c>
      <c r="I36" s="32">
        <v>1800</v>
      </c>
      <c r="J36" s="32">
        <v>1800</v>
      </c>
      <c r="K36" s="32">
        <v>1800</v>
      </c>
      <c r="L36" s="75">
        <v>1800</v>
      </c>
      <c r="M36" s="32">
        <v>1800</v>
      </c>
      <c r="N36" s="32">
        <v>1800</v>
      </c>
      <c r="O36" s="32">
        <v>1800</v>
      </c>
      <c r="P36" s="32">
        <v>1800</v>
      </c>
      <c r="Q36" s="32">
        <v>1800</v>
      </c>
      <c r="R36" s="32">
        <v>1800</v>
      </c>
      <c r="S36" s="32">
        <v>1800</v>
      </c>
      <c r="T36" s="32">
        <v>1800</v>
      </c>
      <c r="U36" s="32">
        <v>1800</v>
      </c>
      <c r="V36" s="32">
        <v>1800</v>
      </c>
      <c r="W36" s="33">
        <v>1800</v>
      </c>
      <c r="X36" s="75">
        <v>1800</v>
      </c>
      <c r="Y36" s="32">
        <v>1800</v>
      </c>
      <c r="Z36" s="32">
        <v>1800</v>
      </c>
      <c r="AA36" s="32">
        <v>1800</v>
      </c>
      <c r="AB36" s="32">
        <v>1800</v>
      </c>
      <c r="AC36" s="33">
        <v>1800</v>
      </c>
      <c r="AD36" s="22">
        <f>+SUM(E36:AC36)</f>
        <v>45000</v>
      </c>
    </row>
    <row r="37" spans="2:31" x14ac:dyDescent="0.3">
      <c r="K37" s="67"/>
      <c r="L37" s="72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23"/>
      <c r="X37" s="72"/>
      <c r="Y37" s="67"/>
      <c r="Z37" s="67"/>
      <c r="AA37" s="67"/>
      <c r="AB37" s="67"/>
      <c r="AC37" s="23"/>
      <c r="AD37" s="22"/>
    </row>
    <row r="38" spans="2:31" x14ac:dyDescent="0.3">
      <c r="B38" s="28" t="s">
        <v>42</v>
      </c>
      <c r="E38" s="34">
        <f t="shared" ref="E38:AC38" si="47">5%*(E23+E15)</f>
        <v>5788.4000000000005</v>
      </c>
      <c r="F38" s="34">
        <f t="shared" si="47"/>
        <v>6050.05</v>
      </c>
      <c r="G38" s="34">
        <f t="shared" si="47"/>
        <v>6050.05</v>
      </c>
      <c r="H38" s="34">
        <f t="shared" si="47"/>
        <v>6050.05</v>
      </c>
      <c r="I38" s="34">
        <f t="shared" si="47"/>
        <v>6050.05</v>
      </c>
      <c r="J38" s="34">
        <f t="shared" si="47"/>
        <v>6050.05</v>
      </c>
      <c r="K38" s="34">
        <f t="shared" si="47"/>
        <v>6050.05</v>
      </c>
      <c r="L38" s="74">
        <f t="shared" si="47"/>
        <v>6050.05</v>
      </c>
      <c r="M38" s="34">
        <f t="shared" si="47"/>
        <v>6050.05</v>
      </c>
      <c r="N38" s="34">
        <f t="shared" si="47"/>
        <v>6050.05</v>
      </c>
      <c r="O38" s="34">
        <f t="shared" si="47"/>
        <v>6050.05</v>
      </c>
      <c r="P38" s="34">
        <f t="shared" si="47"/>
        <v>6050.05</v>
      </c>
      <c r="Q38" s="34">
        <f t="shared" si="47"/>
        <v>6050.05</v>
      </c>
      <c r="R38" s="34">
        <f t="shared" si="47"/>
        <v>6050.05</v>
      </c>
      <c r="S38" s="34">
        <f t="shared" si="47"/>
        <v>6050.05</v>
      </c>
      <c r="T38" s="34">
        <f t="shared" si="47"/>
        <v>6050.05</v>
      </c>
      <c r="U38" s="34">
        <f t="shared" si="47"/>
        <v>6050.05</v>
      </c>
      <c r="V38" s="34">
        <f t="shared" si="47"/>
        <v>6050.05</v>
      </c>
      <c r="W38" s="35">
        <f t="shared" si="47"/>
        <v>6050.05</v>
      </c>
      <c r="X38" s="74">
        <f t="shared" si="47"/>
        <v>6050.05</v>
      </c>
      <c r="Y38" s="34">
        <f t="shared" si="47"/>
        <v>6050.05</v>
      </c>
      <c r="Z38" s="34">
        <f t="shared" si="47"/>
        <v>6050.05</v>
      </c>
      <c r="AA38" s="34">
        <f t="shared" si="47"/>
        <v>6050.05</v>
      </c>
      <c r="AB38" s="34">
        <f t="shared" si="47"/>
        <v>6050.05</v>
      </c>
      <c r="AC38" s="35">
        <f t="shared" si="47"/>
        <v>5137.55</v>
      </c>
      <c r="AD38" s="31">
        <f>+SUM(E38:AC38)</f>
        <v>150077.1</v>
      </c>
      <c r="AE38" s="10">
        <f>+AD38+AD41+AD50</f>
        <v>189986.75120072966</v>
      </c>
    </row>
    <row r="39" spans="2:31" x14ac:dyDescent="0.3">
      <c r="K39" s="67"/>
      <c r="L39" s="72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23"/>
      <c r="X39" s="72"/>
      <c r="Y39" s="67"/>
      <c r="Z39" s="67"/>
      <c r="AA39" s="67"/>
      <c r="AB39" s="67"/>
      <c r="AC39" s="23"/>
      <c r="AD39" s="22"/>
    </row>
    <row r="40" spans="2:31" x14ac:dyDescent="0.3">
      <c r="B40" s="37"/>
      <c r="E40" s="32"/>
      <c r="F40" s="32"/>
      <c r="G40" s="32"/>
      <c r="H40" s="32"/>
      <c r="I40" s="32"/>
      <c r="J40" s="32"/>
      <c r="K40" s="32"/>
      <c r="L40" s="75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3"/>
      <c r="X40" s="75"/>
      <c r="Y40" s="32"/>
      <c r="Z40" s="32"/>
      <c r="AA40" s="32"/>
      <c r="AB40" s="32"/>
      <c r="AC40" s="33"/>
      <c r="AD40" s="22"/>
    </row>
    <row r="41" spans="2:31" x14ac:dyDescent="0.3">
      <c r="B41" s="37" t="s">
        <v>43</v>
      </c>
      <c r="E41" s="32">
        <f>+Datos!D5-165+281+84+25+8+2+1</f>
        <v>8059.651200729656</v>
      </c>
      <c r="F41" s="32"/>
      <c r="G41" s="32"/>
      <c r="H41" s="32"/>
      <c r="I41" s="32"/>
      <c r="J41" s="32"/>
      <c r="K41" s="32"/>
      <c r="L41" s="75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3"/>
      <c r="X41" s="75"/>
      <c r="Y41" s="32"/>
      <c r="Z41" s="32"/>
      <c r="AA41" s="32"/>
      <c r="AB41" s="32"/>
      <c r="AC41" s="33"/>
      <c r="AD41" s="22">
        <f>+SUM(E41:AC41)</f>
        <v>8059.651200729656</v>
      </c>
    </row>
    <row r="42" spans="2:31" x14ac:dyDescent="0.3">
      <c r="B42" s="38" t="s">
        <v>44</v>
      </c>
      <c r="E42" s="32">
        <v>166.66666666666666</v>
      </c>
      <c r="F42" s="32">
        <v>166.66666666666666</v>
      </c>
      <c r="G42" s="32">
        <v>166.66666666666666</v>
      </c>
      <c r="H42" s="32">
        <v>166.66666666666666</v>
      </c>
      <c r="I42" s="32">
        <v>166.66666666666666</v>
      </c>
      <c r="J42" s="32">
        <v>166.66666666666666</v>
      </c>
      <c r="K42" s="32">
        <v>166.66666666666666</v>
      </c>
      <c r="L42" s="75">
        <v>166.66666666666666</v>
      </c>
      <c r="M42" s="32">
        <v>166.66666666666666</v>
      </c>
      <c r="N42" s="32">
        <v>166.66666666666666</v>
      </c>
      <c r="O42" s="32">
        <v>166.66666666666666</v>
      </c>
      <c r="P42" s="32">
        <v>166.66666666666666</v>
      </c>
      <c r="Q42" s="32">
        <v>166.66666666666666</v>
      </c>
      <c r="R42" s="32">
        <v>166.66666666666666</v>
      </c>
      <c r="S42" s="32">
        <v>166.66666666666666</v>
      </c>
      <c r="T42" s="32">
        <v>166.66666666666666</v>
      </c>
      <c r="U42" s="32">
        <v>166.66666666666666</v>
      </c>
      <c r="V42" s="32">
        <v>166.66666666666666</v>
      </c>
      <c r="W42" s="33">
        <v>166.66666666666666</v>
      </c>
      <c r="X42" s="75">
        <v>166.66666666666666</v>
      </c>
      <c r="Y42" s="32">
        <v>166.66666666666666</v>
      </c>
      <c r="Z42" s="32">
        <v>166.66666666666666</v>
      </c>
      <c r="AA42" s="32">
        <v>166.66666666666666</v>
      </c>
      <c r="AB42" s="32">
        <v>166.66666666666666</v>
      </c>
      <c r="AC42" s="33">
        <v>166.66666666666666</v>
      </c>
      <c r="AD42" s="22">
        <f>+SUM(E42:AC42)</f>
        <v>4166.6666666666652</v>
      </c>
    </row>
    <row r="43" spans="2:31" x14ac:dyDescent="0.3">
      <c r="B43" s="38" t="s">
        <v>45</v>
      </c>
      <c r="E43" s="20">
        <f>60*13</f>
        <v>780</v>
      </c>
      <c r="F43" s="32">
        <f t="shared" ref="F43:AC43" si="48">60*13</f>
        <v>780</v>
      </c>
      <c r="G43" s="32">
        <f t="shared" si="48"/>
        <v>780</v>
      </c>
      <c r="H43" s="32">
        <f t="shared" si="48"/>
        <v>780</v>
      </c>
      <c r="I43" s="32">
        <f t="shared" si="48"/>
        <v>780</v>
      </c>
      <c r="J43" s="32">
        <f t="shared" si="48"/>
        <v>780</v>
      </c>
      <c r="K43" s="32">
        <f t="shared" si="48"/>
        <v>780</v>
      </c>
      <c r="L43" s="75">
        <f t="shared" si="48"/>
        <v>780</v>
      </c>
      <c r="M43" s="32">
        <f t="shared" si="48"/>
        <v>780</v>
      </c>
      <c r="N43" s="32">
        <f t="shared" si="48"/>
        <v>780</v>
      </c>
      <c r="O43" s="32">
        <f t="shared" si="48"/>
        <v>780</v>
      </c>
      <c r="P43" s="32">
        <f t="shared" si="48"/>
        <v>780</v>
      </c>
      <c r="Q43" s="32">
        <f t="shared" si="48"/>
        <v>780</v>
      </c>
      <c r="R43" s="32">
        <f t="shared" si="48"/>
        <v>780</v>
      </c>
      <c r="S43" s="32">
        <f t="shared" si="48"/>
        <v>780</v>
      </c>
      <c r="T43" s="32">
        <f t="shared" si="48"/>
        <v>780</v>
      </c>
      <c r="U43" s="32">
        <f t="shared" si="48"/>
        <v>780</v>
      </c>
      <c r="V43" s="32">
        <f t="shared" si="48"/>
        <v>780</v>
      </c>
      <c r="W43" s="33">
        <f t="shared" si="48"/>
        <v>780</v>
      </c>
      <c r="X43" s="75">
        <f t="shared" si="48"/>
        <v>780</v>
      </c>
      <c r="Y43" s="32">
        <f t="shared" si="48"/>
        <v>780</v>
      </c>
      <c r="Z43" s="32">
        <f t="shared" si="48"/>
        <v>780</v>
      </c>
      <c r="AA43" s="32">
        <f t="shared" si="48"/>
        <v>780</v>
      </c>
      <c r="AB43" s="32">
        <f t="shared" si="48"/>
        <v>780</v>
      </c>
      <c r="AC43" s="33">
        <f t="shared" si="48"/>
        <v>780</v>
      </c>
      <c r="AD43" s="22">
        <f>+SUM(E43:AC43)</f>
        <v>19500</v>
      </c>
    </row>
    <row r="44" spans="2:31" x14ac:dyDescent="0.3">
      <c r="B44" s="38"/>
      <c r="E44" s="20"/>
      <c r="F44" s="32"/>
      <c r="G44" s="32"/>
      <c r="H44" s="32"/>
      <c r="I44" s="32"/>
      <c r="J44" s="32"/>
      <c r="K44" s="32"/>
      <c r="L44" s="75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3"/>
      <c r="X44" s="75"/>
      <c r="Y44" s="32"/>
      <c r="Z44" s="32"/>
      <c r="AA44" s="32"/>
      <c r="AB44" s="32"/>
      <c r="AC44" s="33"/>
      <c r="AD44" s="22"/>
    </row>
    <row r="45" spans="2:31" x14ac:dyDescent="0.3">
      <c r="B45" s="38" t="s">
        <v>46</v>
      </c>
      <c r="E45" s="32">
        <f>+(10800+E23+SUM(E41:E43))*0.18</f>
        <v>15574.377216131339</v>
      </c>
      <c r="F45" s="32">
        <f t="shared" ref="F45:AC45" si="49">+(10800+F23+SUM(F41:F43))*0.18</f>
        <v>11780.58</v>
      </c>
      <c r="G45" s="32">
        <f t="shared" si="49"/>
        <v>11780.58</v>
      </c>
      <c r="H45" s="32">
        <f t="shared" si="49"/>
        <v>11780.58</v>
      </c>
      <c r="I45" s="32">
        <f t="shared" si="49"/>
        <v>11780.58</v>
      </c>
      <c r="J45" s="32">
        <f t="shared" si="49"/>
        <v>11780.58</v>
      </c>
      <c r="K45" s="32">
        <f t="shared" si="49"/>
        <v>11780.58</v>
      </c>
      <c r="L45" s="75">
        <f t="shared" si="49"/>
        <v>11780.58</v>
      </c>
      <c r="M45" s="32">
        <f t="shared" si="49"/>
        <v>11780.58</v>
      </c>
      <c r="N45" s="32">
        <f t="shared" si="49"/>
        <v>11780.58</v>
      </c>
      <c r="O45" s="32">
        <f t="shared" si="49"/>
        <v>11780.58</v>
      </c>
      <c r="P45" s="32">
        <f t="shared" si="49"/>
        <v>11780.58</v>
      </c>
      <c r="Q45" s="32">
        <f t="shared" si="49"/>
        <v>11780.58</v>
      </c>
      <c r="R45" s="32">
        <f t="shared" si="49"/>
        <v>11780.58</v>
      </c>
      <c r="S45" s="32">
        <f t="shared" si="49"/>
        <v>11780.58</v>
      </c>
      <c r="T45" s="32">
        <f t="shared" si="49"/>
        <v>11780.58</v>
      </c>
      <c r="U45" s="32">
        <f t="shared" si="49"/>
        <v>11780.58</v>
      </c>
      <c r="V45" s="32">
        <f t="shared" si="49"/>
        <v>11780.58</v>
      </c>
      <c r="W45" s="33">
        <f t="shared" si="49"/>
        <v>11780.58</v>
      </c>
      <c r="X45" s="75">
        <f t="shared" si="49"/>
        <v>11780.58</v>
      </c>
      <c r="Y45" s="32">
        <f t="shared" si="49"/>
        <v>11780.58</v>
      </c>
      <c r="Z45" s="32">
        <f t="shared" si="49"/>
        <v>11780.58</v>
      </c>
      <c r="AA45" s="32">
        <f t="shared" si="49"/>
        <v>11780.58</v>
      </c>
      <c r="AB45" s="32">
        <f t="shared" si="49"/>
        <v>11780.58</v>
      </c>
      <c r="AC45" s="33">
        <f t="shared" si="49"/>
        <v>11780.58</v>
      </c>
      <c r="AD45" s="22">
        <f>+SUM(E45:AC45)</f>
        <v>298308.29721613129</v>
      </c>
      <c r="AE45" s="10"/>
    </row>
    <row r="46" spans="2:31" x14ac:dyDescent="0.3">
      <c r="B46" s="37" t="s">
        <v>47</v>
      </c>
      <c r="E46" s="32">
        <f t="shared" ref="E46:Q46" si="50">+IF(E60&gt;0,E60,0)</f>
        <v>0</v>
      </c>
      <c r="F46" s="32">
        <f t="shared" si="50"/>
        <v>0</v>
      </c>
      <c r="G46" s="32">
        <f t="shared" si="50"/>
        <v>0</v>
      </c>
      <c r="H46" s="32">
        <f t="shared" si="50"/>
        <v>0</v>
      </c>
      <c r="I46" s="32">
        <f t="shared" si="50"/>
        <v>0</v>
      </c>
      <c r="J46" s="32">
        <f t="shared" si="50"/>
        <v>13491.1492277535</v>
      </c>
      <c r="K46" s="32">
        <f t="shared" si="50"/>
        <v>17542.228814628281</v>
      </c>
      <c r="L46" s="75">
        <f t="shared" si="50"/>
        <v>17542.228814628281</v>
      </c>
      <c r="M46" s="32">
        <f t="shared" si="50"/>
        <v>17542.228814628281</v>
      </c>
      <c r="N46" s="32">
        <f t="shared" si="50"/>
        <v>17542.228814628281</v>
      </c>
      <c r="O46" s="32">
        <f t="shared" si="50"/>
        <v>17542.228814628281</v>
      </c>
      <c r="P46" s="32">
        <f t="shared" si="50"/>
        <v>17542.228814628281</v>
      </c>
      <c r="Q46" s="32">
        <f t="shared" si="50"/>
        <v>17542.228814628281</v>
      </c>
      <c r="R46" s="32">
        <f t="shared" ref="R46:AC46" si="51">+IF(R60&gt;0,R60,0)</f>
        <v>17542.228814628281</v>
      </c>
      <c r="S46" s="32">
        <f t="shared" si="51"/>
        <v>17542.228814628281</v>
      </c>
      <c r="T46" s="32">
        <f t="shared" si="51"/>
        <v>17542.228814628281</v>
      </c>
      <c r="U46" s="32">
        <f t="shared" si="51"/>
        <v>17542.228814628281</v>
      </c>
      <c r="V46" s="32">
        <f t="shared" si="51"/>
        <v>17542.228814628281</v>
      </c>
      <c r="W46" s="33">
        <f t="shared" si="51"/>
        <v>17542.228814628281</v>
      </c>
      <c r="X46" s="75">
        <f t="shared" si="51"/>
        <v>17542.228814628281</v>
      </c>
      <c r="Y46" s="32">
        <f t="shared" si="51"/>
        <v>17542.228814628281</v>
      </c>
      <c r="Z46" s="32">
        <f t="shared" si="51"/>
        <v>17542.228814628281</v>
      </c>
      <c r="AA46" s="32">
        <f t="shared" si="51"/>
        <v>17542.228814628281</v>
      </c>
      <c r="AB46" s="32">
        <f t="shared" si="51"/>
        <v>17542.228814628281</v>
      </c>
      <c r="AC46" s="33">
        <f t="shared" si="51"/>
        <v>17542.228814628281</v>
      </c>
      <c r="AD46" s="22">
        <f t="shared" ref="AD46:AD51" si="52">+SUM(E46:AC46)</f>
        <v>346793.49670569069</v>
      </c>
    </row>
    <row r="47" spans="2:31" x14ac:dyDescent="0.3">
      <c r="B47" s="37" t="s">
        <v>48</v>
      </c>
      <c r="E47" s="32">
        <f t="shared" ref="E47:Q47" si="53">+IF(E67&gt;0,E67,0)</f>
        <v>0</v>
      </c>
      <c r="F47" s="32">
        <f t="shared" si="53"/>
        <v>0</v>
      </c>
      <c r="G47" s="32">
        <f t="shared" si="53"/>
        <v>0</v>
      </c>
      <c r="H47" s="32">
        <f t="shared" si="53"/>
        <v>0</v>
      </c>
      <c r="I47" s="32">
        <f t="shared" si="53"/>
        <v>0</v>
      </c>
      <c r="J47" s="32">
        <f t="shared" si="53"/>
        <v>0</v>
      </c>
      <c r="K47" s="32">
        <f t="shared" si="53"/>
        <v>0</v>
      </c>
      <c r="L47" s="75">
        <f t="shared" si="53"/>
        <v>0</v>
      </c>
      <c r="M47" s="32">
        <f t="shared" si="53"/>
        <v>0</v>
      </c>
      <c r="N47" s="32">
        <f t="shared" si="53"/>
        <v>0</v>
      </c>
      <c r="O47" s="32">
        <f t="shared" si="53"/>
        <v>0</v>
      </c>
      <c r="P47" s="32">
        <f t="shared" si="53"/>
        <v>0</v>
      </c>
      <c r="Q47" s="32">
        <f t="shared" si="53"/>
        <v>0</v>
      </c>
      <c r="R47" s="32">
        <f t="shared" ref="R47:AC47" si="54">+IF(R67&gt;0,R67,0)</f>
        <v>0</v>
      </c>
      <c r="S47" s="32">
        <f t="shared" si="54"/>
        <v>9696.9509323467155</v>
      </c>
      <c r="T47" s="32">
        <f t="shared" si="54"/>
        <v>10472.033024380469</v>
      </c>
      <c r="U47" s="32">
        <f t="shared" si="54"/>
        <v>10472.033024380469</v>
      </c>
      <c r="V47" s="32">
        <f t="shared" si="54"/>
        <v>10472.033024380469</v>
      </c>
      <c r="W47" s="33">
        <f t="shared" si="54"/>
        <v>10472.033024380469</v>
      </c>
      <c r="X47" s="75">
        <f t="shared" si="54"/>
        <v>10472.033024380469</v>
      </c>
      <c r="Y47" s="32">
        <f t="shared" si="54"/>
        <v>10472.033024380469</v>
      </c>
      <c r="Z47" s="32">
        <f t="shared" si="54"/>
        <v>10472.033024380469</v>
      </c>
      <c r="AA47" s="32">
        <f t="shared" si="54"/>
        <v>10472.033024380469</v>
      </c>
      <c r="AB47" s="32">
        <f t="shared" si="54"/>
        <v>10472.033024380469</v>
      </c>
      <c r="AC47" s="33">
        <f t="shared" si="54"/>
        <v>16220.783024380469</v>
      </c>
      <c r="AD47" s="22">
        <f t="shared" si="52"/>
        <v>120166.03117615139</v>
      </c>
      <c r="AE47" s="39"/>
    </row>
    <row r="48" spans="2:31" x14ac:dyDescent="0.3">
      <c r="L48" s="72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23"/>
      <c r="X48" s="72"/>
      <c r="Y48" s="67"/>
      <c r="Z48" s="67"/>
      <c r="AA48" s="67"/>
      <c r="AB48" s="67"/>
      <c r="AC48" s="33"/>
      <c r="AD48" s="79"/>
    </row>
    <row r="49" spans="1:31" x14ac:dyDescent="0.3">
      <c r="B49" s="40" t="s">
        <v>49</v>
      </c>
      <c r="E49" s="82">
        <v>460000</v>
      </c>
      <c r="F49" s="14"/>
      <c r="G49" s="14"/>
      <c r="H49" s="14"/>
      <c r="I49" s="14"/>
      <c r="J49" s="82">
        <v>300000</v>
      </c>
      <c r="K49" s="14"/>
      <c r="L49" s="75"/>
      <c r="M49" s="32"/>
      <c r="N49" s="32"/>
      <c r="O49" s="83">
        <v>150000</v>
      </c>
      <c r="P49" s="32"/>
      <c r="Q49" s="32"/>
      <c r="R49" s="32"/>
      <c r="S49" s="32"/>
      <c r="T49" s="32"/>
      <c r="U49" s="32"/>
      <c r="V49" s="32"/>
      <c r="W49" s="33"/>
      <c r="X49" s="75"/>
      <c r="Y49" s="32"/>
      <c r="Z49" s="32"/>
      <c r="AA49" s="32"/>
      <c r="AB49" s="32"/>
      <c r="AC49" s="33"/>
      <c r="AD49" s="22">
        <f t="shared" si="52"/>
        <v>910000</v>
      </c>
    </row>
    <row r="50" spans="1:31" x14ac:dyDescent="0.3">
      <c r="B50" s="40" t="s">
        <v>50</v>
      </c>
      <c r="E50" s="14">
        <f>+E74</f>
        <v>0</v>
      </c>
      <c r="F50" s="14">
        <f t="shared" ref="F50:H50" si="55">+F74</f>
        <v>3220.0000000000005</v>
      </c>
      <c r="G50" s="14">
        <f t="shared" si="55"/>
        <v>3220.0000000000005</v>
      </c>
      <c r="H50" s="14">
        <f t="shared" si="55"/>
        <v>3220.0000000000005</v>
      </c>
      <c r="I50" s="14">
        <f>+I74+I75</f>
        <v>3220.0000000000005</v>
      </c>
      <c r="J50" s="14">
        <f>+J74+J75</f>
        <v>3220.0000000000005</v>
      </c>
      <c r="K50" s="14">
        <f t="shared" ref="K50:AC50" si="56">+K74+K75</f>
        <v>2100.0000000000005</v>
      </c>
      <c r="L50" s="75">
        <f t="shared" si="56"/>
        <v>2100.0000000000005</v>
      </c>
      <c r="M50" s="32">
        <f t="shared" si="56"/>
        <v>2100.0000000000005</v>
      </c>
      <c r="N50" s="32">
        <f t="shared" si="56"/>
        <v>2100.0000000000005</v>
      </c>
      <c r="O50" s="32">
        <f t="shared" si="56"/>
        <v>2100.0000000000005</v>
      </c>
      <c r="P50" s="32">
        <f>+P74+P75+P76</f>
        <v>1312.5000000000002</v>
      </c>
      <c r="Q50" s="32">
        <f t="shared" ref="Q50:S50" si="57">+Q74+Q75+Q76</f>
        <v>1312.5000000000002</v>
      </c>
      <c r="R50" s="32">
        <f t="shared" si="57"/>
        <v>1312.5000000000002</v>
      </c>
      <c r="S50" s="32">
        <f t="shared" si="57"/>
        <v>1312.5000000000002</v>
      </c>
      <c r="T50" s="32">
        <f t="shared" si="56"/>
        <v>0</v>
      </c>
      <c r="U50" s="32">
        <f t="shared" si="56"/>
        <v>0</v>
      </c>
      <c r="V50" s="32">
        <f t="shared" si="56"/>
        <v>0</v>
      </c>
      <c r="W50" s="33">
        <f t="shared" si="56"/>
        <v>0</v>
      </c>
      <c r="X50" s="75">
        <f t="shared" si="56"/>
        <v>0</v>
      </c>
      <c r="Y50" s="32">
        <f t="shared" si="56"/>
        <v>0</v>
      </c>
      <c r="Z50" s="32">
        <f t="shared" si="56"/>
        <v>0</v>
      </c>
      <c r="AA50" s="32">
        <f t="shared" si="56"/>
        <v>0</v>
      </c>
      <c r="AB50" s="32">
        <f t="shared" si="56"/>
        <v>0</v>
      </c>
      <c r="AC50" s="33">
        <f t="shared" si="56"/>
        <v>0</v>
      </c>
      <c r="AD50" s="22">
        <f t="shared" si="52"/>
        <v>31850.000000000004</v>
      </c>
    </row>
    <row r="51" spans="1:31" x14ac:dyDescent="0.3">
      <c r="B51" s="40" t="s">
        <v>51</v>
      </c>
      <c r="E51" s="14"/>
      <c r="F51" s="14"/>
      <c r="G51" s="14"/>
      <c r="H51" s="14"/>
      <c r="I51" s="14">
        <v>0</v>
      </c>
      <c r="J51" s="82">
        <f>-E49</f>
        <v>-460000</v>
      </c>
      <c r="K51" s="14">
        <f>-I49</f>
        <v>0</v>
      </c>
      <c r="L51" s="75"/>
      <c r="M51" s="32">
        <v>0</v>
      </c>
      <c r="N51" s="32">
        <v>0</v>
      </c>
      <c r="O51" s="83">
        <f>-J49</f>
        <v>-300000</v>
      </c>
      <c r="P51" s="32"/>
      <c r="Q51" s="32">
        <v>0</v>
      </c>
      <c r="R51" s="32"/>
      <c r="S51" s="83">
        <f>-O49</f>
        <v>-150000</v>
      </c>
      <c r="T51" s="32"/>
      <c r="U51" s="32"/>
      <c r="V51" s="32"/>
      <c r="W51" s="33"/>
      <c r="X51" s="75"/>
      <c r="Y51" s="32"/>
      <c r="Z51" s="32"/>
      <c r="AA51" s="32"/>
      <c r="AB51" s="32"/>
      <c r="AC51" s="33"/>
      <c r="AD51" s="22">
        <f t="shared" si="52"/>
        <v>-910000</v>
      </c>
    </row>
    <row r="52" spans="1:31" x14ac:dyDescent="0.3">
      <c r="L52" s="77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70"/>
      <c r="X52" s="77"/>
      <c r="Y52" s="69"/>
      <c r="Z52" s="69"/>
      <c r="AA52" s="69"/>
      <c r="AB52" s="69"/>
      <c r="AC52" s="78"/>
      <c r="AD52" s="80"/>
    </row>
    <row r="53" spans="1:31" ht="15.6" x14ac:dyDescent="0.3">
      <c r="B53" s="41" t="s">
        <v>52</v>
      </c>
      <c r="E53" s="42">
        <f t="shared" ref="E53:AC53" si="58">+E10-E14+E49-E50+D53+E51</f>
        <v>313862.90491647238</v>
      </c>
      <c r="F53" s="43">
        <f t="shared" si="58"/>
        <v>170864.60824980572</v>
      </c>
      <c r="G53" s="43">
        <f t="shared" si="58"/>
        <v>27866.311583139061</v>
      </c>
      <c r="H53" s="43">
        <f t="shared" si="58"/>
        <v>77095.317145702254</v>
      </c>
      <c r="I53" s="43">
        <f t="shared" si="58"/>
        <v>126324.32270826545</v>
      </c>
      <c r="J53" s="43">
        <f t="shared" si="58"/>
        <v>2062.179043075128</v>
      </c>
      <c r="K53" s="43">
        <f t="shared" si="58"/>
        <v>34868.955791010027</v>
      </c>
      <c r="L53" s="43">
        <f t="shared" si="58"/>
        <v>67675.732538944925</v>
      </c>
      <c r="M53" s="43">
        <f t="shared" si="58"/>
        <v>100482.50928687982</v>
      </c>
      <c r="N53" s="43">
        <f t="shared" si="58"/>
        <v>133289.28603481472</v>
      </c>
      <c r="O53" s="43">
        <f t="shared" si="58"/>
        <v>16096.06278274965</v>
      </c>
      <c r="P53" s="43">
        <f t="shared" si="58"/>
        <v>49690.339530684549</v>
      </c>
      <c r="Q53" s="43">
        <f t="shared" si="58"/>
        <v>83284.616278619447</v>
      </c>
      <c r="R53" s="43">
        <f t="shared" si="58"/>
        <v>116878.89302655435</v>
      </c>
      <c r="S53" s="43">
        <f t="shared" si="58"/>
        <v>-9223.7811578574474</v>
      </c>
      <c r="T53" s="43">
        <f t="shared" si="58"/>
        <v>15210.962565697002</v>
      </c>
      <c r="U53" s="43">
        <f t="shared" si="58"/>
        <v>39645.706289251451</v>
      </c>
      <c r="V53" s="43">
        <f t="shared" si="58"/>
        <v>64080.450012805901</v>
      </c>
      <c r="W53" s="43">
        <f t="shared" si="58"/>
        <v>88515.19373636035</v>
      </c>
      <c r="X53" s="43">
        <f t="shared" si="58"/>
        <v>112949.9374599148</v>
      </c>
      <c r="Y53" s="43">
        <f t="shared" si="58"/>
        <v>137384.68118346925</v>
      </c>
      <c r="Z53" s="43">
        <f t="shared" si="58"/>
        <v>161819.4249070237</v>
      </c>
      <c r="AA53" s="43">
        <f t="shared" si="58"/>
        <v>186254.16863057815</v>
      </c>
      <c r="AB53" s="43">
        <f t="shared" si="58"/>
        <v>210688.9123541326</v>
      </c>
      <c r="AC53" s="43">
        <f t="shared" si="58"/>
        <v>248537.40607768705</v>
      </c>
      <c r="AD53" s="81">
        <f>+AD10-AD14-AD50</f>
        <v>248537.40607768716</v>
      </c>
      <c r="AE53" s="10"/>
    </row>
    <row r="54" spans="1:31" ht="15.6" x14ac:dyDescent="0.3">
      <c r="B54" s="41" t="s">
        <v>53</v>
      </c>
      <c r="F54" s="44"/>
      <c r="AD54" s="15">
        <f>+AD53/AD10</f>
        <v>5.8769772507347919E-2</v>
      </c>
      <c r="AE54" s="10"/>
    </row>
    <row r="55" spans="1:31" ht="15.6" x14ac:dyDescent="0.3">
      <c r="B55" s="41"/>
      <c r="F55" s="44"/>
    </row>
    <row r="56" spans="1:31" x14ac:dyDescent="0.3">
      <c r="A56" s="45" t="s">
        <v>54</v>
      </c>
      <c r="AD56" s="14"/>
    </row>
    <row r="57" spans="1:31" hidden="1" outlineLevel="1" x14ac:dyDescent="0.3">
      <c r="D57" s="121">
        <v>2022</v>
      </c>
      <c r="E57" s="122"/>
      <c r="F57" s="122"/>
      <c r="G57" s="122"/>
      <c r="H57" s="122"/>
      <c r="I57" s="122"/>
      <c r="J57" s="122"/>
      <c r="K57" s="125"/>
      <c r="L57" s="121">
        <v>2023</v>
      </c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5"/>
      <c r="X57" s="122">
        <v>2024</v>
      </c>
      <c r="Y57" s="122"/>
      <c r="Z57" s="122"/>
      <c r="AA57" s="122"/>
      <c r="AB57" s="122"/>
      <c r="AC57" s="125"/>
      <c r="AD57" s="123"/>
    </row>
    <row r="58" spans="1:31" hidden="1" outlineLevel="1" x14ac:dyDescent="0.3">
      <c r="D58" s="2" t="s">
        <v>24</v>
      </c>
      <c r="E58" s="2" t="s">
        <v>25</v>
      </c>
      <c r="F58" s="2" t="s">
        <v>26</v>
      </c>
      <c r="G58" s="2" t="s">
        <v>27</v>
      </c>
      <c r="H58" s="2" t="s">
        <v>28</v>
      </c>
      <c r="I58" s="2" t="s">
        <v>29</v>
      </c>
      <c r="J58" s="2" t="s">
        <v>30</v>
      </c>
      <c r="K58" s="2" t="s">
        <v>31</v>
      </c>
      <c r="L58" s="16" t="s">
        <v>32</v>
      </c>
      <c r="M58" s="2" t="s">
        <v>33</v>
      </c>
      <c r="N58" s="2" t="s">
        <v>34</v>
      </c>
      <c r="O58" s="2" t="s">
        <v>35</v>
      </c>
      <c r="P58" s="2" t="s">
        <v>24</v>
      </c>
      <c r="Q58" s="17" t="s">
        <v>25</v>
      </c>
      <c r="R58" s="2" t="s">
        <v>26</v>
      </c>
      <c r="S58" s="2" t="s">
        <v>27</v>
      </c>
      <c r="T58" s="2" t="s">
        <v>28</v>
      </c>
      <c r="U58" s="2" t="s">
        <v>29</v>
      </c>
      <c r="V58" s="2" t="s">
        <v>30</v>
      </c>
      <c r="W58" s="2" t="s">
        <v>31</v>
      </c>
      <c r="X58" s="16" t="s">
        <v>32</v>
      </c>
      <c r="Y58" s="2" t="s">
        <v>33</v>
      </c>
      <c r="Z58" s="2" t="s">
        <v>34</v>
      </c>
      <c r="AA58" s="2" t="s">
        <v>35</v>
      </c>
      <c r="AB58" s="2" t="s">
        <v>24</v>
      </c>
      <c r="AC58" s="17" t="s">
        <v>25</v>
      </c>
      <c r="AD58" s="124"/>
    </row>
    <row r="59" spans="1:31" hidden="1" outlineLevel="1" x14ac:dyDescent="0.3">
      <c r="B59" t="s">
        <v>55</v>
      </c>
      <c r="E59" s="46">
        <f t="shared" ref="E59:AC59" si="59">+E12-E45</f>
        <v>-15574.377216131339</v>
      </c>
      <c r="F59" s="46">
        <f t="shared" si="59"/>
        <v>-11780.58</v>
      </c>
      <c r="G59" s="46">
        <f t="shared" si="59"/>
        <v>-11780.58</v>
      </c>
      <c r="H59" s="46">
        <f t="shared" si="59"/>
        <v>17542.228814628281</v>
      </c>
      <c r="I59" s="46">
        <f t="shared" si="59"/>
        <v>17542.228814628281</v>
      </c>
      <c r="J59" s="46">
        <f t="shared" si="59"/>
        <v>17542.228814628281</v>
      </c>
      <c r="K59" s="46">
        <f t="shared" si="59"/>
        <v>17542.228814628281</v>
      </c>
      <c r="L59" s="46">
        <f t="shared" si="59"/>
        <v>17542.228814628281</v>
      </c>
      <c r="M59" s="46">
        <f t="shared" si="59"/>
        <v>17542.228814628281</v>
      </c>
      <c r="N59" s="46">
        <f t="shared" si="59"/>
        <v>17542.228814628281</v>
      </c>
      <c r="O59" s="46">
        <f t="shared" si="59"/>
        <v>17542.228814628281</v>
      </c>
      <c r="P59" s="46">
        <f t="shared" si="59"/>
        <v>17542.228814628281</v>
      </c>
      <c r="Q59" s="46">
        <f t="shared" si="59"/>
        <v>17542.228814628281</v>
      </c>
      <c r="R59" s="46">
        <f t="shared" si="59"/>
        <v>17542.228814628281</v>
      </c>
      <c r="S59" s="46">
        <f t="shared" si="59"/>
        <v>17542.228814628281</v>
      </c>
      <c r="T59" s="46">
        <f t="shared" si="59"/>
        <v>17542.228814628281</v>
      </c>
      <c r="U59" s="46">
        <f t="shared" si="59"/>
        <v>17542.228814628281</v>
      </c>
      <c r="V59" s="46">
        <f t="shared" si="59"/>
        <v>17542.228814628281</v>
      </c>
      <c r="W59" s="46">
        <f t="shared" si="59"/>
        <v>17542.228814628281</v>
      </c>
      <c r="X59" s="46">
        <f t="shared" si="59"/>
        <v>17542.228814628281</v>
      </c>
      <c r="Y59" s="46">
        <f t="shared" si="59"/>
        <v>17542.228814628281</v>
      </c>
      <c r="Z59" s="46">
        <f t="shared" si="59"/>
        <v>17542.228814628281</v>
      </c>
      <c r="AA59" s="46">
        <f t="shared" si="59"/>
        <v>17542.228814628281</v>
      </c>
      <c r="AB59" s="46">
        <f t="shared" si="59"/>
        <v>17542.228814628281</v>
      </c>
      <c r="AC59" s="46">
        <f t="shared" si="59"/>
        <v>17542.228814628281</v>
      </c>
      <c r="AD59" s="46"/>
    </row>
    <row r="60" spans="1:31" hidden="1" outlineLevel="1" x14ac:dyDescent="0.3">
      <c r="E60" s="47">
        <f>+E59</f>
        <v>-15574.377216131339</v>
      </c>
      <c r="F60" s="47">
        <f t="shared" ref="F60:Q60" si="60">+IF((E60)&lt;0,(E60+F59),F59)</f>
        <v>-27354.957216131341</v>
      </c>
      <c r="G60" s="47">
        <f t="shared" si="60"/>
        <v>-39135.537216131343</v>
      </c>
      <c r="H60" s="47">
        <f t="shared" si="60"/>
        <v>-21593.308401503062</v>
      </c>
      <c r="I60" s="47">
        <f t="shared" si="60"/>
        <v>-4051.0795868747809</v>
      </c>
      <c r="J60" s="47">
        <f t="shared" si="60"/>
        <v>13491.1492277535</v>
      </c>
      <c r="K60" s="47">
        <f t="shared" si="60"/>
        <v>17542.228814628281</v>
      </c>
      <c r="L60" s="47">
        <f t="shared" si="60"/>
        <v>17542.228814628281</v>
      </c>
      <c r="M60" s="47">
        <f t="shared" si="60"/>
        <v>17542.228814628281</v>
      </c>
      <c r="N60" s="47">
        <f t="shared" si="60"/>
        <v>17542.228814628281</v>
      </c>
      <c r="O60" s="47">
        <f t="shared" si="60"/>
        <v>17542.228814628281</v>
      </c>
      <c r="P60" s="47">
        <f t="shared" si="60"/>
        <v>17542.228814628281</v>
      </c>
      <c r="Q60" s="47">
        <f t="shared" si="60"/>
        <v>17542.228814628281</v>
      </c>
      <c r="R60" s="47">
        <f t="shared" ref="R60:AC60" si="61">+IF((Q60)&lt;0,(Q60+R59),R59)</f>
        <v>17542.228814628281</v>
      </c>
      <c r="S60" s="47">
        <f t="shared" si="61"/>
        <v>17542.228814628281</v>
      </c>
      <c r="T60" s="47">
        <f t="shared" si="61"/>
        <v>17542.228814628281</v>
      </c>
      <c r="U60" s="47">
        <f t="shared" si="61"/>
        <v>17542.228814628281</v>
      </c>
      <c r="V60" s="47">
        <f t="shared" si="61"/>
        <v>17542.228814628281</v>
      </c>
      <c r="W60" s="47">
        <f t="shared" si="61"/>
        <v>17542.228814628281</v>
      </c>
      <c r="X60" s="47">
        <f t="shared" si="61"/>
        <v>17542.228814628281</v>
      </c>
      <c r="Y60" s="47">
        <f t="shared" si="61"/>
        <v>17542.228814628281</v>
      </c>
      <c r="Z60" s="47">
        <f t="shared" si="61"/>
        <v>17542.228814628281</v>
      </c>
      <c r="AA60" s="47">
        <f t="shared" si="61"/>
        <v>17542.228814628281</v>
      </c>
      <c r="AB60" s="47">
        <f t="shared" si="61"/>
        <v>17542.228814628281</v>
      </c>
      <c r="AC60" s="47">
        <f t="shared" si="61"/>
        <v>17542.228814628281</v>
      </c>
      <c r="AD60" s="3"/>
    </row>
    <row r="61" spans="1:31" collapsed="1" x14ac:dyDescent="0.3">
      <c r="AD61" s="120"/>
    </row>
    <row r="62" spans="1:31" x14ac:dyDescent="0.3">
      <c r="A62" s="45" t="s">
        <v>56</v>
      </c>
    </row>
    <row r="63" spans="1:31" hidden="1" outlineLevel="1" x14ac:dyDescent="0.3">
      <c r="B63" s="3" t="s">
        <v>37</v>
      </c>
      <c r="C63" s="3"/>
      <c r="D63" s="3"/>
      <c r="E63" s="48">
        <f t="shared" ref="E63:AD63" si="62">+E11</f>
        <v>0</v>
      </c>
      <c r="F63" s="48">
        <f t="shared" si="62"/>
        <v>0</v>
      </c>
      <c r="G63" s="48">
        <f t="shared" si="62"/>
        <v>0</v>
      </c>
      <c r="H63" s="48">
        <f t="shared" si="62"/>
        <v>162904.49341460157</v>
      </c>
      <c r="I63" s="48">
        <f t="shared" si="62"/>
        <v>162904.49341460157</v>
      </c>
      <c r="J63" s="48">
        <f t="shared" si="62"/>
        <v>162904.49341460157</v>
      </c>
      <c r="K63" s="48">
        <f t="shared" si="62"/>
        <v>162904.49341460157</v>
      </c>
      <c r="L63" s="48">
        <f t="shared" si="62"/>
        <v>162904.49341460157</v>
      </c>
      <c r="M63" s="48">
        <f t="shared" si="62"/>
        <v>162904.49341460157</v>
      </c>
      <c r="N63" s="48">
        <f t="shared" si="62"/>
        <v>162904.49341460157</v>
      </c>
      <c r="O63" s="48">
        <f t="shared" si="62"/>
        <v>162904.49341460157</v>
      </c>
      <c r="P63" s="48">
        <f t="shared" si="62"/>
        <v>162904.49341460157</v>
      </c>
      <c r="Q63" s="48">
        <f t="shared" si="62"/>
        <v>162904.49341460157</v>
      </c>
      <c r="R63" s="48">
        <f t="shared" si="62"/>
        <v>162904.49341460157</v>
      </c>
      <c r="S63" s="48">
        <f t="shared" si="62"/>
        <v>162904.49341460157</v>
      </c>
      <c r="T63" s="48">
        <f t="shared" si="62"/>
        <v>162904.49341460157</v>
      </c>
      <c r="U63" s="48">
        <f t="shared" si="62"/>
        <v>162904.49341460157</v>
      </c>
      <c r="V63" s="48">
        <f t="shared" si="62"/>
        <v>162904.49341460157</v>
      </c>
      <c r="W63" s="48">
        <f t="shared" si="62"/>
        <v>162904.49341460157</v>
      </c>
      <c r="X63" s="48">
        <f t="shared" si="62"/>
        <v>162904.49341460157</v>
      </c>
      <c r="Y63" s="48">
        <f t="shared" si="62"/>
        <v>162904.49341460157</v>
      </c>
      <c r="Z63" s="48">
        <f t="shared" si="62"/>
        <v>162904.49341460157</v>
      </c>
      <c r="AA63" s="48">
        <f t="shared" si="62"/>
        <v>162904.49341460157</v>
      </c>
      <c r="AB63" s="48">
        <f t="shared" si="62"/>
        <v>162904.49341460157</v>
      </c>
      <c r="AC63" s="48">
        <f t="shared" si="62"/>
        <v>162904.49341460157</v>
      </c>
      <c r="AD63" s="48">
        <f t="shared" si="62"/>
        <v>3583898.8551212363</v>
      </c>
    </row>
    <row r="64" spans="1:31" hidden="1" outlineLevel="1" x14ac:dyDescent="0.3">
      <c r="B64" s="3" t="s">
        <v>20</v>
      </c>
      <c r="C64" s="3"/>
      <c r="D64" s="3"/>
      <c r="E64" s="48">
        <f t="shared" ref="E64:AD64" si="63">+E15+E23+E38+E40+E41+E42+E43</f>
        <v>130562.71786739632</v>
      </c>
      <c r="F64" s="48">
        <f t="shared" si="63"/>
        <v>127997.71666666667</v>
      </c>
      <c r="G64" s="48">
        <f t="shared" si="63"/>
        <v>127997.71666666667</v>
      </c>
      <c r="H64" s="48">
        <f t="shared" si="63"/>
        <v>127997.71666666667</v>
      </c>
      <c r="I64" s="48">
        <f t="shared" si="63"/>
        <v>127997.71666666667</v>
      </c>
      <c r="J64" s="48">
        <f t="shared" si="63"/>
        <v>127997.71666666667</v>
      </c>
      <c r="K64" s="48">
        <f t="shared" si="63"/>
        <v>127997.71666666667</v>
      </c>
      <c r="L64" s="48">
        <f t="shared" si="63"/>
        <v>127997.71666666667</v>
      </c>
      <c r="M64" s="48">
        <f t="shared" si="63"/>
        <v>127997.71666666667</v>
      </c>
      <c r="N64" s="48">
        <f t="shared" si="63"/>
        <v>127997.71666666667</v>
      </c>
      <c r="O64" s="48">
        <f t="shared" si="63"/>
        <v>127997.71666666667</v>
      </c>
      <c r="P64" s="48">
        <f t="shared" si="63"/>
        <v>127997.71666666667</v>
      </c>
      <c r="Q64" s="48">
        <f t="shared" si="63"/>
        <v>127997.71666666667</v>
      </c>
      <c r="R64" s="48">
        <f t="shared" si="63"/>
        <v>127997.71666666667</v>
      </c>
      <c r="S64" s="48">
        <f t="shared" si="63"/>
        <v>127997.71666666667</v>
      </c>
      <c r="T64" s="48">
        <f t="shared" si="63"/>
        <v>127997.71666666667</v>
      </c>
      <c r="U64" s="48">
        <f t="shared" si="63"/>
        <v>127997.71666666667</v>
      </c>
      <c r="V64" s="48">
        <f t="shared" si="63"/>
        <v>127997.71666666667</v>
      </c>
      <c r="W64" s="48">
        <f t="shared" si="63"/>
        <v>127997.71666666667</v>
      </c>
      <c r="X64" s="48">
        <f t="shared" si="63"/>
        <v>127997.71666666667</v>
      </c>
      <c r="Y64" s="48">
        <f t="shared" si="63"/>
        <v>127997.71666666667</v>
      </c>
      <c r="Z64" s="48">
        <f t="shared" si="63"/>
        <v>127997.71666666667</v>
      </c>
      <c r="AA64" s="48">
        <f t="shared" si="63"/>
        <v>127997.71666666667</v>
      </c>
      <c r="AB64" s="48">
        <f t="shared" si="63"/>
        <v>127997.71666666667</v>
      </c>
      <c r="AC64" s="48">
        <f t="shared" si="63"/>
        <v>108835.21666666667</v>
      </c>
      <c r="AD64" s="48">
        <f t="shared" si="63"/>
        <v>3183345.4178673965</v>
      </c>
    </row>
    <row r="65" spans="1:30" hidden="1" outlineLevel="1" x14ac:dyDescent="0.3">
      <c r="B65" s="49" t="s">
        <v>57</v>
      </c>
      <c r="C65" s="3"/>
      <c r="D65" s="3"/>
      <c r="E65" s="48">
        <f>+E63-E64</f>
        <v>-130562.71786739632</v>
      </c>
      <c r="F65" s="48">
        <f>+F63-F64</f>
        <v>-127997.71666666667</v>
      </c>
      <c r="G65" s="48">
        <f t="shared" ref="G65:Q65" si="64">+G63-G64</f>
        <v>-127997.71666666667</v>
      </c>
      <c r="H65" s="48">
        <f>+H63-H64</f>
        <v>34906.776747934899</v>
      </c>
      <c r="I65" s="48">
        <f t="shared" si="64"/>
        <v>34906.776747934899</v>
      </c>
      <c r="J65" s="48">
        <f t="shared" si="64"/>
        <v>34906.776747934899</v>
      </c>
      <c r="K65" s="48">
        <f t="shared" si="64"/>
        <v>34906.776747934899</v>
      </c>
      <c r="L65" s="48">
        <f t="shared" si="64"/>
        <v>34906.776747934899</v>
      </c>
      <c r="M65" s="48">
        <f t="shared" si="64"/>
        <v>34906.776747934899</v>
      </c>
      <c r="N65" s="48">
        <f t="shared" si="64"/>
        <v>34906.776747934899</v>
      </c>
      <c r="O65" s="48">
        <f t="shared" si="64"/>
        <v>34906.776747934899</v>
      </c>
      <c r="P65" s="48">
        <f t="shared" si="64"/>
        <v>34906.776747934899</v>
      </c>
      <c r="Q65" s="48">
        <f t="shared" si="64"/>
        <v>34906.776747934899</v>
      </c>
      <c r="R65" s="48">
        <f t="shared" ref="R65" si="65">+R63-R64</f>
        <v>34906.776747934899</v>
      </c>
      <c r="S65" s="48">
        <f t="shared" ref="S65" si="66">+S63-S64</f>
        <v>34906.776747934899</v>
      </c>
      <c r="T65" s="48">
        <f t="shared" ref="T65" si="67">+T63-T64</f>
        <v>34906.776747934899</v>
      </c>
      <c r="U65" s="48">
        <f t="shared" ref="U65" si="68">+U63-U64</f>
        <v>34906.776747934899</v>
      </c>
      <c r="V65" s="48">
        <f t="shared" ref="V65" si="69">+V63-V64</f>
        <v>34906.776747934899</v>
      </c>
      <c r="W65" s="48">
        <f t="shared" ref="W65" si="70">+W63-W64</f>
        <v>34906.776747934899</v>
      </c>
      <c r="X65" s="48">
        <f t="shared" ref="X65" si="71">+X63-X64</f>
        <v>34906.776747934899</v>
      </c>
      <c r="Y65" s="48">
        <f t="shared" ref="Y65" si="72">+Y63-Y64</f>
        <v>34906.776747934899</v>
      </c>
      <c r="Z65" s="48">
        <f t="shared" ref="Z65" si="73">+Z63-Z64</f>
        <v>34906.776747934899</v>
      </c>
      <c r="AA65" s="48">
        <f t="shared" ref="AA65" si="74">+AA63-AA64</f>
        <v>34906.776747934899</v>
      </c>
      <c r="AB65" s="48">
        <f t="shared" ref="AB65" si="75">+AB63-AB64</f>
        <v>34906.776747934899</v>
      </c>
      <c r="AC65" s="48">
        <f t="shared" ref="AC65" si="76">+AC63-AC64</f>
        <v>54069.276747934899</v>
      </c>
      <c r="AD65" s="48">
        <f>+AD63-AD64</f>
        <v>400553.4372538398</v>
      </c>
    </row>
    <row r="66" spans="1:30" hidden="1" outlineLevel="1" x14ac:dyDescent="0.3">
      <c r="B66" s="3" t="s">
        <v>48</v>
      </c>
      <c r="C66" s="3"/>
      <c r="D66" s="3"/>
      <c r="E66" s="48">
        <f>E65*30%</f>
        <v>-39168.815360218898</v>
      </c>
      <c r="F66" s="48">
        <f>F65*30%</f>
        <v>-38399.315000000002</v>
      </c>
      <c r="G66" s="48">
        <f t="shared" ref="G66:Q66" si="77">G65*30%</f>
        <v>-38399.315000000002</v>
      </c>
      <c r="H66" s="48">
        <f>H65*30%</f>
        <v>10472.033024380469</v>
      </c>
      <c r="I66" s="48">
        <f t="shared" si="77"/>
        <v>10472.033024380469</v>
      </c>
      <c r="J66" s="48">
        <f t="shared" si="77"/>
        <v>10472.033024380469</v>
      </c>
      <c r="K66" s="48">
        <f t="shared" si="77"/>
        <v>10472.033024380469</v>
      </c>
      <c r="L66" s="48">
        <f t="shared" si="77"/>
        <v>10472.033024380469</v>
      </c>
      <c r="M66" s="48">
        <f t="shared" si="77"/>
        <v>10472.033024380469</v>
      </c>
      <c r="N66" s="48">
        <f t="shared" si="77"/>
        <v>10472.033024380469</v>
      </c>
      <c r="O66" s="48">
        <f t="shared" si="77"/>
        <v>10472.033024380469</v>
      </c>
      <c r="P66" s="48">
        <f t="shared" si="77"/>
        <v>10472.033024380469</v>
      </c>
      <c r="Q66" s="48">
        <f t="shared" si="77"/>
        <v>10472.033024380469</v>
      </c>
      <c r="R66" s="48">
        <f t="shared" ref="R66" si="78">R65*30%</f>
        <v>10472.033024380469</v>
      </c>
      <c r="S66" s="48">
        <f t="shared" ref="S66" si="79">S65*30%</f>
        <v>10472.033024380469</v>
      </c>
      <c r="T66" s="48">
        <f t="shared" ref="T66" si="80">T65*30%</f>
        <v>10472.033024380469</v>
      </c>
      <c r="U66" s="48">
        <f t="shared" ref="U66" si="81">U65*30%</f>
        <v>10472.033024380469</v>
      </c>
      <c r="V66" s="48">
        <f t="shared" ref="V66" si="82">V65*30%</f>
        <v>10472.033024380469</v>
      </c>
      <c r="W66" s="48">
        <f t="shared" ref="W66" si="83">W65*30%</f>
        <v>10472.033024380469</v>
      </c>
      <c r="X66" s="48">
        <f t="shared" ref="X66" si="84">X65*30%</f>
        <v>10472.033024380469</v>
      </c>
      <c r="Y66" s="48">
        <f t="shared" ref="Y66" si="85">Y65*30%</f>
        <v>10472.033024380469</v>
      </c>
      <c r="Z66" s="48">
        <f t="shared" ref="Z66" si="86">Z65*30%</f>
        <v>10472.033024380469</v>
      </c>
      <c r="AA66" s="48">
        <f t="shared" ref="AA66" si="87">AA65*30%</f>
        <v>10472.033024380469</v>
      </c>
      <c r="AB66" s="48">
        <f t="shared" ref="AB66" si="88">AB65*30%</f>
        <v>10472.033024380469</v>
      </c>
      <c r="AC66" s="48">
        <f t="shared" ref="AC66" si="89">AC65*30%</f>
        <v>16220.783024380469</v>
      </c>
      <c r="AD66" s="48">
        <f>AD65*30%</f>
        <v>120166.03117615194</v>
      </c>
    </row>
    <row r="67" spans="1:30" hidden="1" outlineLevel="1" x14ac:dyDescent="0.3">
      <c r="B67" s="3"/>
      <c r="C67" s="3"/>
      <c r="D67" s="3"/>
      <c r="E67" s="50">
        <f>+D67+E66</f>
        <v>-39168.815360218898</v>
      </c>
      <c r="F67" s="47">
        <f t="shared" ref="F67:Q67" si="90">+IF((E67)&lt;0,(E67+F66),F66)</f>
        <v>-77568.1303602189</v>
      </c>
      <c r="G67" s="47">
        <f t="shared" si="90"/>
        <v>-115967.4453602189</v>
      </c>
      <c r="H67" s="47">
        <f t="shared" si="90"/>
        <v>-105495.41233583844</v>
      </c>
      <c r="I67" s="47">
        <f t="shared" si="90"/>
        <v>-95023.379311457975</v>
      </c>
      <c r="J67" s="47">
        <f t="shared" si="90"/>
        <v>-84551.346287077511</v>
      </c>
      <c r="K67" s="47">
        <f t="shared" si="90"/>
        <v>-74079.313262697047</v>
      </c>
      <c r="L67" s="47">
        <f t="shared" si="90"/>
        <v>-63607.280238316576</v>
      </c>
      <c r="M67" s="47">
        <f t="shared" si="90"/>
        <v>-53135.247213936105</v>
      </c>
      <c r="N67" s="47">
        <f t="shared" si="90"/>
        <v>-42663.214189555634</v>
      </c>
      <c r="O67" s="47">
        <f t="shared" si="90"/>
        <v>-32191.181165175163</v>
      </c>
      <c r="P67" s="47">
        <f t="shared" si="90"/>
        <v>-21719.148140794692</v>
      </c>
      <c r="Q67" s="47">
        <f t="shared" si="90"/>
        <v>-11247.115116414223</v>
      </c>
      <c r="R67" s="47">
        <f t="shared" ref="R67:AC67" si="91">+IF((Q67)&lt;0,(Q67+R66),R66)</f>
        <v>-775.08209203375372</v>
      </c>
      <c r="S67" s="47">
        <f t="shared" si="91"/>
        <v>9696.9509323467155</v>
      </c>
      <c r="T67" s="47">
        <f t="shared" si="91"/>
        <v>10472.033024380469</v>
      </c>
      <c r="U67" s="47">
        <f t="shared" si="91"/>
        <v>10472.033024380469</v>
      </c>
      <c r="V67" s="47">
        <f t="shared" si="91"/>
        <v>10472.033024380469</v>
      </c>
      <c r="W67" s="47">
        <f t="shared" si="91"/>
        <v>10472.033024380469</v>
      </c>
      <c r="X67" s="47">
        <f t="shared" si="91"/>
        <v>10472.033024380469</v>
      </c>
      <c r="Y67" s="47">
        <f t="shared" si="91"/>
        <v>10472.033024380469</v>
      </c>
      <c r="Z67" s="47">
        <f t="shared" si="91"/>
        <v>10472.033024380469</v>
      </c>
      <c r="AA67" s="47">
        <f t="shared" si="91"/>
        <v>10472.033024380469</v>
      </c>
      <c r="AB67" s="47">
        <f t="shared" si="91"/>
        <v>10472.033024380469</v>
      </c>
      <c r="AC67" s="47">
        <f t="shared" si="91"/>
        <v>16220.783024380469</v>
      </c>
      <c r="AD67" s="48"/>
    </row>
    <row r="68" spans="1:30" hidden="1" outlineLevel="1" x14ac:dyDescent="0.3"/>
    <row r="69" spans="1:30" collapsed="1" x14ac:dyDescent="0.3"/>
    <row r="70" spans="1:30" x14ac:dyDescent="0.3">
      <c r="A70" s="45" t="s">
        <v>58</v>
      </c>
    </row>
    <row r="71" spans="1:30" hidden="1" outlineLevel="1" x14ac:dyDescent="0.3">
      <c r="B71" s="51" t="s">
        <v>49</v>
      </c>
      <c r="C71" s="3"/>
      <c r="D71" s="3"/>
      <c r="E71" s="52">
        <f>+E49</f>
        <v>460000</v>
      </c>
      <c r="F71" s="52">
        <f t="shared" ref="F71:Q71" si="92">+F49</f>
        <v>0</v>
      </c>
      <c r="G71" s="52">
        <f t="shared" si="92"/>
        <v>0</v>
      </c>
      <c r="H71" s="52">
        <f t="shared" si="92"/>
        <v>0</v>
      </c>
      <c r="I71" s="52">
        <f t="shared" si="92"/>
        <v>0</v>
      </c>
      <c r="J71" s="52">
        <f t="shared" si="92"/>
        <v>300000</v>
      </c>
      <c r="K71" s="52">
        <f t="shared" si="92"/>
        <v>0</v>
      </c>
      <c r="L71" s="52">
        <f t="shared" si="92"/>
        <v>0</v>
      </c>
      <c r="M71" s="52">
        <f t="shared" si="92"/>
        <v>0</v>
      </c>
      <c r="N71" s="52">
        <f t="shared" si="92"/>
        <v>0</v>
      </c>
      <c r="O71" s="52">
        <f t="shared" si="92"/>
        <v>150000</v>
      </c>
      <c r="P71" s="52">
        <f t="shared" si="92"/>
        <v>0</v>
      </c>
      <c r="Q71" s="52">
        <f t="shared" si="92"/>
        <v>0</v>
      </c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</row>
    <row r="72" spans="1:30" hidden="1" outlineLevel="1" x14ac:dyDescent="0.3">
      <c r="B72" s="51" t="s">
        <v>59</v>
      </c>
      <c r="C72" s="53">
        <v>7.0000000000000007E-2</v>
      </c>
      <c r="D72" s="3"/>
      <c r="E72" s="52">
        <f>(E71*$C72/360*180)</f>
        <v>16100.000000000002</v>
      </c>
      <c r="F72" s="52">
        <f t="shared" ref="F72:Q72" si="93">(F71*D72/360*360)</f>
        <v>0</v>
      </c>
      <c r="G72" s="52">
        <f t="shared" si="93"/>
        <v>0</v>
      </c>
      <c r="H72" s="52">
        <f>(H71*C72/360*9*30)</f>
        <v>0</v>
      </c>
      <c r="I72" s="52">
        <f>(I71*$C72/360*120)</f>
        <v>0</v>
      </c>
      <c r="J72" s="52">
        <f>(J71*$C72/360*180)</f>
        <v>10500.000000000002</v>
      </c>
      <c r="K72" s="52">
        <f t="shared" si="93"/>
        <v>0</v>
      </c>
      <c r="L72" s="52">
        <f>(L71*C72/360*360)</f>
        <v>0</v>
      </c>
      <c r="M72" s="52">
        <f t="shared" si="93"/>
        <v>0</v>
      </c>
      <c r="N72" s="52">
        <f t="shared" si="93"/>
        <v>0</v>
      </c>
      <c r="O72" s="52">
        <f>(O71*$C72/360*180)</f>
        <v>5250.0000000000009</v>
      </c>
      <c r="P72" s="52">
        <f t="shared" si="93"/>
        <v>0</v>
      </c>
      <c r="Q72" s="52">
        <f t="shared" si="93"/>
        <v>0</v>
      </c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</row>
    <row r="73" spans="1:30" hidden="1" outlineLevel="1" x14ac:dyDescent="0.3">
      <c r="B73" s="40"/>
      <c r="C73" s="54"/>
      <c r="F73" s="55"/>
      <c r="G73" s="55"/>
      <c r="H73" s="55"/>
      <c r="I73" s="55"/>
      <c r="J73" s="55"/>
      <c r="K73" s="55"/>
    </row>
    <row r="74" spans="1:30" hidden="1" outlineLevel="1" x14ac:dyDescent="0.3">
      <c r="B74" s="40" t="s">
        <v>60</v>
      </c>
      <c r="C74" s="54"/>
      <c r="E74" s="56">
        <v>0</v>
      </c>
      <c r="F74" s="56">
        <f>+$E$72/5</f>
        <v>3220.0000000000005</v>
      </c>
      <c r="G74" s="56">
        <f>+$E$72/5</f>
        <v>3220.0000000000005</v>
      </c>
      <c r="H74" s="56">
        <f>+$E$72/5</f>
        <v>3220.0000000000005</v>
      </c>
      <c r="I74" s="56">
        <f>+$E$72/5</f>
        <v>3220.0000000000005</v>
      </c>
      <c r="J74" s="56">
        <f>+$E$72/5</f>
        <v>3220.0000000000005</v>
      </c>
      <c r="K74" s="56"/>
      <c r="L74" s="56"/>
      <c r="M74" s="56"/>
      <c r="N74" s="56"/>
      <c r="O74" s="56"/>
      <c r="P74" s="56"/>
      <c r="Q74" s="56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</row>
    <row r="75" spans="1:30" hidden="1" outlineLevel="1" x14ac:dyDescent="0.3">
      <c r="E75" s="56">
        <f>+$F$73/6</f>
        <v>0</v>
      </c>
      <c r="F75" s="56">
        <f t="shared" ref="F75:H75" si="94">+$F$73/6</f>
        <v>0</v>
      </c>
      <c r="G75" s="56">
        <f t="shared" si="94"/>
        <v>0</v>
      </c>
      <c r="H75" s="56">
        <f t="shared" si="94"/>
        <v>0</v>
      </c>
      <c r="I75" s="56">
        <f>+$I$72/3</f>
        <v>0</v>
      </c>
      <c r="J75" s="56">
        <f>+$I$72/3</f>
        <v>0</v>
      </c>
      <c r="K75" s="56">
        <f>+$J$72/5</f>
        <v>2100.0000000000005</v>
      </c>
      <c r="L75" s="56">
        <f t="shared" ref="L75:O75" si="95">+$J$72/5</f>
        <v>2100.0000000000005</v>
      </c>
      <c r="M75" s="56">
        <f t="shared" si="95"/>
        <v>2100.0000000000005</v>
      </c>
      <c r="N75" s="56">
        <f t="shared" si="95"/>
        <v>2100.0000000000005</v>
      </c>
      <c r="O75" s="56">
        <f t="shared" si="95"/>
        <v>2100.0000000000005</v>
      </c>
    </row>
    <row r="76" spans="1:30" hidden="1" outlineLevel="1" x14ac:dyDescent="0.3">
      <c r="E76" s="56"/>
      <c r="F76" s="56">
        <f>+$G$73/6</f>
        <v>0</v>
      </c>
      <c r="G76" s="56">
        <f>+$G$73/6</f>
        <v>0</v>
      </c>
      <c r="H76" s="56">
        <f>+$G$73/6</f>
        <v>0</v>
      </c>
      <c r="I76" s="56">
        <f>+$G$73/6</f>
        <v>0</v>
      </c>
      <c r="J76" s="56">
        <f>+$G$73/6</f>
        <v>0</v>
      </c>
      <c r="K76" s="56"/>
      <c r="P76">
        <f>+$O$72/4</f>
        <v>1312.5000000000002</v>
      </c>
      <c r="Q76">
        <f t="shared" ref="Q76:S76" si="96">+$O$72/4</f>
        <v>1312.5000000000002</v>
      </c>
      <c r="R76">
        <f t="shared" si="96"/>
        <v>1312.5000000000002</v>
      </c>
      <c r="S76">
        <f t="shared" si="96"/>
        <v>1312.5000000000002</v>
      </c>
    </row>
    <row r="77" spans="1:30" hidden="1" outlineLevel="1" x14ac:dyDescent="0.3">
      <c r="E77" s="56"/>
      <c r="F77" s="56"/>
      <c r="G77" s="56">
        <f>+$H$73/4</f>
        <v>0</v>
      </c>
      <c r="H77" s="56">
        <f>+$H$73/4</f>
        <v>0</v>
      </c>
      <c r="I77" s="56">
        <f>+$H$73/4</f>
        <v>0</v>
      </c>
      <c r="J77" s="56">
        <f>+$H$73/4</f>
        <v>0</v>
      </c>
      <c r="K77" s="56"/>
    </row>
    <row r="78" spans="1:30" hidden="1" outlineLevel="1" x14ac:dyDescent="0.3"/>
    <row r="79" spans="1:30" collapsed="1" x14ac:dyDescent="0.3"/>
  </sheetData>
  <mergeCells count="8">
    <mergeCell ref="D8:K8"/>
    <mergeCell ref="AD8:AD9"/>
    <mergeCell ref="D57:K57"/>
    <mergeCell ref="AD57:AD58"/>
    <mergeCell ref="L8:W8"/>
    <mergeCell ref="X8:AC8"/>
    <mergeCell ref="L57:W57"/>
    <mergeCell ref="X57:AC57"/>
  </mergeCells>
  <conditionalFormatting sqref="E66:AD66">
    <cfRule type="cellIs" dxfId="2" priority="3" operator="lessThan">
      <formula>0</formula>
    </cfRule>
  </conditionalFormatting>
  <conditionalFormatting sqref="F53:F55">
    <cfRule type="cellIs" dxfId="1" priority="2" operator="lessThan">
      <formula>0</formula>
    </cfRule>
  </conditionalFormatting>
  <conditionalFormatting sqref="E53:AC53">
    <cfRule type="cellIs" dxfId="0" priority="1" operator="lessThan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EE23F-5FFD-4DC1-9328-7F7C21F1C542}">
  <dimension ref="B2:H43"/>
  <sheetViews>
    <sheetView showGridLines="0" tabSelected="1" topLeftCell="A13" workbookViewId="0">
      <selection activeCell="G43" sqref="G43"/>
    </sheetView>
  </sheetViews>
  <sheetFormatPr baseColWidth="10" defaultRowHeight="14.4" x14ac:dyDescent="0.3"/>
  <cols>
    <col min="2" max="2" width="7.21875" bestFit="1" customWidth="1"/>
    <col min="3" max="3" width="45.44140625" customWidth="1"/>
    <col min="4" max="4" width="6.6640625" customWidth="1"/>
    <col min="5" max="5" width="6.77734375" customWidth="1"/>
    <col min="6" max="6" width="8.6640625" customWidth="1"/>
    <col min="7" max="7" width="14" bestFit="1" customWidth="1"/>
  </cols>
  <sheetData>
    <row r="2" spans="2:7" x14ac:dyDescent="0.3">
      <c r="D2" s="126" t="s">
        <v>83</v>
      </c>
      <c r="E2" s="127"/>
      <c r="F2" s="127"/>
      <c r="G2" s="128"/>
    </row>
    <row r="3" spans="2:7" x14ac:dyDescent="0.3">
      <c r="D3" s="85" t="s">
        <v>70</v>
      </c>
      <c r="E3" s="85" t="s">
        <v>71</v>
      </c>
      <c r="F3" s="85" t="s">
        <v>72</v>
      </c>
      <c r="G3" s="85" t="s">
        <v>73</v>
      </c>
    </row>
    <row r="4" spans="2:7" ht="6" customHeight="1" x14ac:dyDescent="0.3"/>
    <row r="5" spans="2:7" x14ac:dyDescent="0.3">
      <c r="B5" s="86">
        <v>1</v>
      </c>
      <c r="C5" s="87" t="s">
        <v>74</v>
      </c>
      <c r="D5" s="88"/>
      <c r="E5" s="88"/>
      <c r="F5" s="88"/>
      <c r="G5" s="89">
        <f>+SUM(G7:G12)</f>
        <v>1646000</v>
      </c>
    </row>
    <row r="6" spans="2:7" ht="4.8" customHeight="1" x14ac:dyDescent="0.3">
      <c r="B6" s="90"/>
    </row>
    <row r="7" spans="2:7" x14ac:dyDescent="0.3">
      <c r="B7" s="91">
        <v>1.01</v>
      </c>
      <c r="C7" s="92" t="s">
        <v>69</v>
      </c>
      <c r="D7" s="93" t="s">
        <v>75</v>
      </c>
      <c r="E7" s="94">
        <v>25</v>
      </c>
      <c r="F7" s="95">
        <v>30800</v>
      </c>
      <c r="G7" s="95">
        <f>+F7*E7</f>
        <v>770000</v>
      </c>
    </row>
    <row r="8" spans="2:7" x14ac:dyDescent="0.3">
      <c r="B8" s="96">
        <v>1.02</v>
      </c>
      <c r="C8" s="97" t="s">
        <v>0</v>
      </c>
      <c r="D8" s="98" t="s">
        <v>75</v>
      </c>
      <c r="E8" s="99">
        <v>24</v>
      </c>
      <c r="F8" s="100">
        <v>10000</v>
      </c>
      <c r="G8" s="100">
        <f t="shared" ref="G8:G12" si="0">+F8*E8</f>
        <v>240000</v>
      </c>
    </row>
    <row r="9" spans="2:7" x14ac:dyDescent="0.3">
      <c r="B9" s="96">
        <v>1.03</v>
      </c>
      <c r="C9" s="97" t="s">
        <v>1</v>
      </c>
      <c r="D9" s="98" t="s">
        <v>75</v>
      </c>
      <c r="E9" s="99">
        <v>24</v>
      </c>
      <c r="F9" s="100">
        <v>7000</v>
      </c>
      <c r="G9" s="100">
        <f t="shared" si="0"/>
        <v>168000</v>
      </c>
    </row>
    <row r="10" spans="2:7" x14ac:dyDescent="0.3">
      <c r="B10" s="96">
        <v>1.04</v>
      </c>
      <c r="C10" s="97" t="s">
        <v>2</v>
      </c>
      <c r="D10" s="98" t="s">
        <v>75</v>
      </c>
      <c r="E10" s="99">
        <v>24</v>
      </c>
      <c r="F10" s="100">
        <v>6500</v>
      </c>
      <c r="G10" s="100">
        <f t="shared" si="0"/>
        <v>156000</v>
      </c>
    </row>
    <row r="11" spans="2:7" x14ac:dyDescent="0.3">
      <c r="B11" s="96">
        <v>1.05</v>
      </c>
      <c r="C11" s="97" t="s">
        <v>3</v>
      </c>
      <c r="D11" s="98" t="s">
        <v>75</v>
      </c>
      <c r="E11" s="99">
        <v>24</v>
      </c>
      <c r="F11" s="100">
        <v>6500</v>
      </c>
      <c r="G11" s="100">
        <f t="shared" si="0"/>
        <v>156000</v>
      </c>
    </row>
    <row r="12" spans="2:7" x14ac:dyDescent="0.3">
      <c r="B12" s="101">
        <v>1.06</v>
      </c>
      <c r="C12" s="102" t="s">
        <v>4</v>
      </c>
      <c r="D12" s="103" t="s">
        <v>75</v>
      </c>
      <c r="E12" s="104">
        <v>24</v>
      </c>
      <c r="F12" s="105">
        <v>6500</v>
      </c>
      <c r="G12" s="105">
        <f t="shared" si="0"/>
        <v>156000</v>
      </c>
    </row>
    <row r="13" spans="2:7" ht="12" customHeight="1" x14ac:dyDescent="0.3"/>
    <row r="14" spans="2:7" x14ac:dyDescent="0.3">
      <c r="B14" s="86">
        <v>2</v>
      </c>
      <c r="C14" s="88" t="s">
        <v>76</v>
      </c>
      <c r="D14" s="88"/>
      <c r="E14" s="88"/>
      <c r="F14" s="88"/>
      <c r="G14" s="106">
        <f>+SUM(G16:G30)</f>
        <v>1379208.6666666667</v>
      </c>
    </row>
    <row r="15" spans="2:7" ht="4.2" customHeight="1" x14ac:dyDescent="0.3"/>
    <row r="16" spans="2:7" x14ac:dyDescent="0.3">
      <c r="B16" s="107">
        <v>2.0099999999999998</v>
      </c>
      <c r="C16" s="92" t="s">
        <v>5</v>
      </c>
      <c r="D16" s="93" t="s">
        <v>75</v>
      </c>
      <c r="E16" s="94">
        <v>25</v>
      </c>
      <c r="F16" s="95">
        <v>2400</v>
      </c>
      <c r="G16" s="95">
        <f t="shared" ref="G16:G30" si="1">+F16*E16</f>
        <v>60000</v>
      </c>
    </row>
    <row r="17" spans="2:7" x14ac:dyDescent="0.3">
      <c r="B17" s="108">
        <v>2.02</v>
      </c>
      <c r="C17" s="97" t="s">
        <v>6</v>
      </c>
      <c r="D17" s="98" t="s">
        <v>75</v>
      </c>
      <c r="E17" s="99">
        <v>25</v>
      </c>
      <c r="F17" s="100">
        <v>17100</v>
      </c>
      <c r="G17" s="100">
        <f t="shared" si="1"/>
        <v>427500</v>
      </c>
    </row>
    <row r="18" spans="2:7" x14ac:dyDescent="0.3">
      <c r="B18" s="108">
        <v>2.0299999999999998</v>
      </c>
      <c r="C18" s="97" t="s">
        <v>7</v>
      </c>
      <c r="D18" s="98" t="s">
        <v>75</v>
      </c>
      <c r="E18" s="99">
        <v>25</v>
      </c>
      <c r="F18" s="100">
        <v>3125</v>
      </c>
      <c r="G18" s="100">
        <f t="shared" si="1"/>
        <v>78125</v>
      </c>
    </row>
    <row r="19" spans="2:7" x14ac:dyDescent="0.3">
      <c r="B19" s="108">
        <v>2.04</v>
      </c>
      <c r="C19" s="97" t="s">
        <v>8</v>
      </c>
      <c r="D19" s="98" t="s">
        <v>75</v>
      </c>
      <c r="E19" s="99">
        <v>25</v>
      </c>
      <c r="F19" s="100">
        <v>26000</v>
      </c>
      <c r="G19" s="100">
        <f t="shared" si="1"/>
        <v>650000</v>
      </c>
    </row>
    <row r="20" spans="2:7" x14ac:dyDescent="0.3">
      <c r="B20" s="108">
        <v>2.0499999999999998</v>
      </c>
      <c r="C20" s="97" t="s">
        <v>9</v>
      </c>
      <c r="D20" s="98" t="s">
        <v>75</v>
      </c>
      <c r="E20" s="99">
        <v>25</v>
      </c>
      <c r="F20" s="100">
        <v>1250</v>
      </c>
      <c r="G20" s="100">
        <f t="shared" si="1"/>
        <v>31250</v>
      </c>
    </row>
    <row r="21" spans="2:7" x14ac:dyDescent="0.3">
      <c r="B21" s="108">
        <v>2.06</v>
      </c>
      <c r="C21" s="97" t="s">
        <v>10</v>
      </c>
      <c r="D21" s="98" t="s">
        <v>75</v>
      </c>
      <c r="E21" s="99">
        <v>25</v>
      </c>
      <c r="F21" s="100">
        <v>1126</v>
      </c>
      <c r="G21" s="100">
        <f t="shared" si="1"/>
        <v>28150</v>
      </c>
    </row>
    <row r="22" spans="2:7" x14ac:dyDescent="0.3">
      <c r="B22" s="108">
        <v>2.0699999999999998</v>
      </c>
      <c r="C22" s="97" t="s">
        <v>11</v>
      </c>
      <c r="D22" s="98" t="s">
        <v>75</v>
      </c>
      <c r="E22" s="99">
        <v>25</v>
      </c>
      <c r="F22" s="100">
        <v>900</v>
      </c>
      <c r="G22" s="100">
        <f t="shared" si="1"/>
        <v>22500</v>
      </c>
    </row>
    <row r="23" spans="2:7" x14ac:dyDescent="0.3">
      <c r="B23" s="108">
        <v>2.08</v>
      </c>
      <c r="C23" s="97" t="s">
        <v>12</v>
      </c>
      <c r="D23" s="98" t="s">
        <v>77</v>
      </c>
      <c r="E23" s="99">
        <v>1</v>
      </c>
      <c r="F23" s="100">
        <v>11000</v>
      </c>
      <c r="G23" s="100">
        <f t="shared" si="1"/>
        <v>11000</v>
      </c>
    </row>
    <row r="24" spans="2:7" x14ac:dyDescent="0.3">
      <c r="B24" s="108">
        <v>2.09</v>
      </c>
      <c r="C24" s="97" t="s">
        <v>13</v>
      </c>
      <c r="D24" s="98" t="s">
        <v>77</v>
      </c>
      <c r="E24" s="99">
        <v>1</v>
      </c>
      <c r="F24" s="100">
        <v>469</v>
      </c>
      <c r="G24" s="100">
        <f t="shared" si="1"/>
        <v>469</v>
      </c>
    </row>
    <row r="25" spans="2:7" x14ac:dyDescent="0.3">
      <c r="B25" s="108">
        <v>2.1</v>
      </c>
      <c r="C25" s="97" t="s">
        <v>14</v>
      </c>
      <c r="D25" s="98" t="s">
        <v>77</v>
      </c>
      <c r="E25" s="99">
        <v>1</v>
      </c>
      <c r="F25" s="100">
        <v>430</v>
      </c>
      <c r="G25" s="100">
        <f t="shared" si="1"/>
        <v>430</v>
      </c>
    </row>
    <row r="26" spans="2:7" x14ac:dyDescent="0.3">
      <c r="B26" s="108">
        <v>2.11</v>
      </c>
      <c r="C26" s="97" t="s">
        <v>15</v>
      </c>
      <c r="D26" s="98" t="s">
        <v>77</v>
      </c>
      <c r="E26" s="99">
        <v>1</v>
      </c>
      <c r="F26" s="100">
        <v>618</v>
      </c>
      <c r="G26" s="100">
        <f t="shared" si="1"/>
        <v>618</v>
      </c>
    </row>
    <row r="27" spans="2:7" x14ac:dyDescent="0.3">
      <c r="B27" s="108">
        <v>2.12</v>
      </c>
      <c r="C27" s="97" t="s">
        <v>16</v>
      </c>
      <c r="D27" s="98" t="s">
        <v>77</v>
      </c>
      <c r="E27" s="99">
        <v>1</v>
      </c>
      <c r="F27" s="100">
        <v>500</v>
      </c>
      <c r="G27" s="100">
        <f t="shared" si="1"/>
        <v>500</v>
      </c>
    </row>
    <row r="28" spans="2:7" x14ac:dyDescent="0.3">
      <c r="B28" s="108">
        <v>2.13</v>
      </c>
      <c r="C28" s="97" t="s">
        <v>17</v>
      </c>
      <c r="D28" s="98" t="s">
        <v>75</v>
      </c>
      <c r="E28" s="99">
        <v>25</v>
      </c>
      <c r="F28" s="100">
        <v>1800</v>
      </c>
      <c r="G28" s="100">
        <f t="shared" si="1"/>
        <v>45000</v>
      </c>
    </row>
    <row r="29" spans="2:7" x14ac:dyDescent="0.3">
      <c r="B29" s="108">
        <v>2.14</v>
      </c>
      <c r="C29" s="97" t="s">
        <v>44</v>
      </c>
      <c r="D29" s="98" t="s">
        <v>75</v>
      </c>
      <c r="E29" s="99">
        <v>25</v>
      </c>
      <c r="F29" s="100">
        <v>166.66666666666666</v>
      </c>
      <c r="G29" s="100">
        <f t="shared" si="1"/>
        <v>4166.6666666666661</v>
      </c>
    </row>
    <row r="30" spans="2:7" x14ac:dyDescent="0.3">
      <c r="B30" s="109">
        <v>2.15</v>
      </c>
      <c r="C30" s="102" t="s">
        <v>45</v>
      </c>
      <c r="D30" s="103" t="s">
        <v>75</v>
      </c>
      <c r="E30" s="104">
        <v>25</v>
      </c>
      <c r="F30" s="105">
        <v>780</v>
      </c>
      <c r="G30" s="105">
        <f t="shared" si="1"/>
        <v>19500</v>
      </c>
    </row>
    <row r="32" spans="2:7" x14ac:dyDescent="0.3">
      <c r="B32" s="88"/>
      <c r="C32" s="87" t="s">
        <v>78</v>
      </c>
      <c r="D32" s="88"/>
      <c r="E32" s="88"/>
      <c r="F32" s="88"/>
      <c r="G32" s="106">
        <f>+G5+G14</f>
        <v>3025208.666666667</v>
      </c>
    </row>
    <row r="33" spans="2:8" ht="3.6" customHeight="1" x14ac:dyDescent="0.3">
      <c r="B33" s="110"/>
      <c r="C33" s="111"/>
      <c r="D33" s="110"/>
      <c r="E33" s="110"/>
      <c r="F33" s="110"/>
      <c r="G33" s="29"/>
    </row>
    <row r="34" spans="2:8" x14ac:dyDescent="0.3">
      <c r="C34" s="112" t="s">
        <v>79</v>
      </c>
      <c r="D34" s="113"/>
      <c r="E34" s="113"/>
      <c r="F34" s="113"/>
      <c r="G34" s="114">
        <v>310152.78237688105</v>
      </c>
      <c r="H34" s="10"/>
    </row>
    <row r="35" spans="2:8" x14ac:dyDescent="0.3">
      <c r="C35" s="112" t="s">
        <v>80</v>
      </c>
      <c r="D35" s="113"/>
      <c r="E35" s="113"/>
      <c r="F35" s="113"/>
      <c r="G35" s="114">
        <v>248537.40607768716</v>
      </c>
    </row>
    <row r="36" spans="2:8" ht="3" customHeight="1" x14ac:dyDescent="0.3">
      <c r="C36" s="115"/>
      <c r="G36" s="116"/>
    </row>
    <row r="37" spans="2:8" x14ac:dyDescent="0.3">
      <c r="B37" s="88"/>
      <c r="C37" s="88" t="s">
        <v>81</v>
      </c>
      <c r="D37" s="88"/>
      <c r="E37" s="88"/>
      <c r="F37" s="88"/>
      <c r="G37" s="106">
        <f>+G32+G34+G35</f>
        <v>3583898.8551212354</v>
      </c>
    </row>
    <row r="38" spans="2:8" ht="4.2" customHeight="1" x14ac:dyDescent="0.3">
      <c r="B38" s="110"/>
      <c r="C38" s="110"/>
      <c r="D38" s="110"/>
      <c r="E38" s="110"/>
      <c r="F38" s="110"/>
      <c r="G38" s="29"/>
    </row>
    <row r="39" spans="2:8" x14ac:dyDescent="0.3">
      <c r="C39" s="112" t="s">
        <v>38</v>
      </c>
      <c r="D39" s="113"/>
      <c r="E39" s="113"/>
      <c r="F39" s="113"/>
      <c r="G39" s="114">
        <v>645101.79392182222</v>
      </c>
    </row>
    <row r="40" spans="2:8" ht="4.2" customHeight="1" x14ac:dyDescent="0.3">
      <c r="C40" s="115"/>
      <c r="G40" s="116"/>
    </row>
    <row r="41" spans="2:8" ht="18" x14ac:dyDescent="0.3">
      <c r="B41" s="88"/>
      <c r="C41" s="117" t="s">
        <v>82</v>
      </c>
      <c r="D41" s="118"/>
      <c r="E41" s="118"/>
      <c r="F41" s="118"/>
      <c r="G41" s="119">
        <f>+G37+G39</f>
        <v>4229000.6490430571</v>
      </c>
    </row>
    <row r="43" spans="2:8" x14ac:dyDescent="0.3">
      <c r="G43" s="10"/>
    </row>
  </sheetData>
  <mergeCells count="1">
    <mergeCell ref="D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5c5935-8f9a-4b33-911b-ecb2aa7661d0">
      <Terms xmlns="http://schemas.microsoft.com/office/infopath/2007/PartnerControls"/>
    </lcf76f155ced4ddcb4097134ff3c332f>
    <TaxCatchAll xmlns="5aca583f-226f-4f5c-9da2-b173a01a448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7F7C9C348A44943B99A18E4E38943FB" ma:contentTypeVersion="16" ma:contentTypeDescription="Crear nuevo documento." ma:contentTypeScope="" ma:versionID="a3922598532ae91bcc6ce763c07d554c">
  <xsd:schema xmlns:xsd="http://www.w3.org/2001/XMLSchema" xmlns:xs="http://www.w3.org/2001/XMLSchema" xmlns:p="http://schemas.microsoft.com/office/2006/metadata/properties" xmlns:ns2="1f5c5935-8f9a-4b33-911b-ecb2aa7661d0" xmlns:ns3="5aca583f-226f-4f5c-9da2-b173a01a4489" targetNamespace="http://schemas.microsoft.com/office/2006/metadata/properties" ma:root="true" ma:fieldsID="69a639ee59d13a995dc20b7d5df70402" ns2:_="" ns3:_="">
    <xsd:import namespace="1f5c5935-8f9a-4b33-911b-ecb2aa7661d0"/>
    <xsd:import namespace="5aca583f-226f-4f5c-9da2-b173a01a44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c5935-8f9a-4b33-911b-ecb2aa766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2d8dc14e-3b06-4f9e-87e4-04b3319e24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a583f-226f-4f5c-9da2-b173a01a448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6d2cd1e-5012-48af-b219-2c7355b0750b}" ma:internalName="TaxCatchAll" ma:showField="CatchAllData" ma:web="5aca583f-226f-4f5c-9da2-b173a01a44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1A4352-E9A3-48AB-B3C0-9052E02D1675}">
  <ds:schemaRefs>
    <ds:schemaRef ds:uri="http://schemas.microsoft.com/office/2006/metadata/properties"/>
    <ds:schemaRef ds:uri="http://schemas.microsoft.com/office/infopath/2007/PartnerControls"/>
    <ds:schemaRef ds:uri="1f5c5935-8f9a-4b33-911b-ecb2aa7661d0"/>
    <ds:schemaRef ds:uri="5aca583f-226f-4f5c-9da2-b173a01a4489"/>
  </ds:schemaRefs>
</ds:datastoreItem>
</file>

<file path=customXml/itemProps2.xml><?xml version="1.0" encoding="utf-8"?>
<ds:datastoreItem xmlns:ds="http://schemas.openxmlformats.org/officeDocument/2006/customXml" ds:itemID="{3DA418FB-E23F-4E62-8397-DC64F8AD5E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AB181D-8AF7-40B0-9069-4C66A77F7D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5c5935-8f9a-4b33-911b-ecb2aa7661d0"/>
    <ds:schemaRef ds:uri="5aca583f-226f-4f5c-9da2-b173a01a44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FC</vt:lpstr>
      <vt:lpstr>Formato Huarmey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Sanchez Leon</dc:creator>
  <cp:lastModifiedBy>José Miguel Mazuré</cp:lastModifiedBy>
  <dcterms:created xsi:type="dcterms:W3CDTF">2022-05-16T18:33:26Z</dcterms:created>
  <dcterms:modified xsi:type="dcterms:W3CDTF">2022-05-20T15:32:57Z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0x01010067F7C9C348A44943B99A18E4E38943FB</vt:lpwstr>
  </property>
</Properties>
</file>