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Casma/"/>
    </mc:Choice>
  </mc:AlternateContent>
  <xr:revisionPtr revIDLastSave="0" documentId="8_{CDDDD991-8670-4BB1-BC61-11D2663CCF0F}" xr6:coauthVersionLast="47" xr6:coauthVersionMax="47" xr10:uidLastSave="{00000000-0000-0000-0000-000000000000}"/>
  <bookViews>
    <workbookView xWindow="-108" yWindow="-108" windowWidth="23256" windowHeight="12576" firstSheet="1" activeTab="2" xr2:uid="{00000000-000D-0000-FFFF-FFFF00000000}"/>
  </bookViews>
  <sheets>
    <sheet name="Datos" sheetId="4" state="hidden" r:id="rId1"/>
    <sheet name="FC" sheetId="3" r:id="rId2"/>
    <sheet name="Formato Casma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5" l="1"/>
  <c r="S45" i="3" l="1"/>
  <c r="S38" i="3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2" i="5"/>
  <c r="G11" i="5"/>
  <c r="G10" i="5"/>
  <c r="G9" i="5"/>
  <c r="G8" i="5"/>
  <c r="G7" i="5"/>
  <c r="E21" i="3"/>
  <c r="E20" i="3"/>
  <c r="E19" i="3"/>
  <c r="E18" i="3"/>
  <c r="E17" i="3"/>
  <c r="E45" i="3"/>
  <c r="M72" i="3"/>
  <c r="D2" i="3"/>
  <c r="G14" i="5" l="1"/>
  <c r="G5" i="5"/>
  <c r="I5" i="3"/>
  <c r="G32" i="5" l="1"/>
  <c r="G37" i="5" s="1"/>
  <c r="O51" i="3"/>
  <c r="P50" i="3"/>
  <c r="H11" i="3" l="1"/>
  <c r="J51" i="3"/>
  <c r="R49" i="3"/>
  <c r="E80" i="3" l="1"/>
  <c r="F80" i="3" s="1"/>
  <c r="G80" i="3" s="1"/>
  <c r="H80" i="3" s="1"/>
  <c r="I80" i="3" s="1"/>
  <c r="J80" i="3" s="1"/>
  <c r="K80" i="3" s="1"/>
  <c r="L80" i="3" s="1"/>
  <c r="M80" i="3" s="1"/>
  <c r="N80" i="3" s="1"/>
  <c r="O80" i="3" s="1"/>
  <c r="P80" i="3" s="1"/>
  <c r="Q80" i="3" s="1"/>
  <c r="D53" i="3"/>
  <c r="D81" i="3" s="1"/>
  <c r="D71" i="3"/>
  <c r="D72" i="3" s="1"/>
  <c r="G74" i="3" s="1"/>
  <c r="D87" i="3"/>
  <c r="D88" i="3" s="1"/>
  <c r="E63" i="3"/>
  <c r="M51" i="3"/>
  <c r="Q50" i="3"/>
  <c r="H74" i="3" l="1"/>
  <c r="I74" i="3"/>
  <c r="E74" i="3"/>
  <c r="F74" i="3"/>
  <c r="K51" i="3"/>
  <c r="R51" i="3" s="1"/>
  <c r="D4" i="4"/>
  <c r="D5" i="4" s="1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Q71" i="3"/>
  <c r="P71" i="3"/>
  <c r="O71" i="3"/>
  <c r="N71" i="3"/>
  <c r="M71" i="3"/>
  <c r="L71" i="3"/>
  <c r="L72" i="3" s="1"/>
  <c r="K71" i="3"/>
  <c r="J71" i="3"/>
  <c r="J72" i="3" s="1"/>
  <c r="I71" i="3"/>
  <c r="I72" i="3" s="1"/>
  <c r="H71" i="3"/>
  <c r="H72" i="3" s="1"/>
  <c r="G71" i="3"/>
  <c r="F71" i="3"/>
  <c r="F72" i="3" s="1"/>
  <c r="E72" i="3"/>
  <c r="J74" i="3" s="1"/>
  <c r="J77" i="3"/>
  <c r="I77" i="3"/>
  <c r="H77" i="3"/>
  <c r="G77" i="3"/>
  <c r="J76" i="3"/>
  <c r="I76" i="3"/>
  <c r="H76" i="3"/>
  <c r="G76" i="3"/>
  <c r="F76" i="3"/>
  <c r="H75" i="3"/>
  <c r="G75" i="3"/>
  <c r="F75" i="3"/>
  <c r="E75" i="3"/>
  <c r="M76" i="3" l="1"/>
  <c r="N76" i="3"/>
  <c r="N50" i="3" s="1"/>
  <c r="O76" i="3"/>
  <c r="O50" i="3" s="1"/>
  <c r="D86" i="3"/>
  <c r="R43" i="3"/>
  <c r="M75" i="3"/>
  <c r="L75" i="3"/>
  <c r="L50" i="3" s="1"/>
  <c r="K75" i="3"/>
  <c r="K50" i="3" s="1"/>
  <c r="J75" i="3"/>
  <c r="J50" i="3" s="1"/>
  <c r="I75" i="3"/>
  <c r="G72" i="3"/>
  <c r="K72" i="3" s="1"/>
  <c r="O72" i="3" s="1"/>
  <c r="Q72" i="3" s="1"/>
  <c r="E50" i="3"/>
  <c r="N72" i="3"/>
  <c r="P72" i="3" s="1"/>
  <c r="M50" i="3" l="1"/>
  <c r="I50" i="3"/>
  <c r="H50" i="3"/>
  <c r="G50" i="3"/>
  <c r="F50" i="3"/>
  <c r="R50" i="3" l="1"/>
  <c r="R42" i="3" l="1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1" i="3"/>
  <c r="R20" i="3"/>
  <c r="R19" i="3"/>
  <c r="R18" i="3"/>
  <c r="R17" i="3"/>
  <c r="R16" i="3"/>
  <c r="Q15" i="3" l="1"/>
  <c r="P15" i="3"/>
  <c r="O15" i="3"/>
  <c r="N15" i="3"/>
  <c r="M15" i="3"/>
  <c r="L15" i="3"/>
  <c r="K15" i="3"/>
  <c r="J15" i="3"/>
  <c r="I15" i="3"/>
  <c r="H15" i="3"/>
  <c r="G15" i="3"/>
  <c r="F15" i="3"/>
  <c r="E15" i="3"/>
  <c r="Q23" i="3"/>
  <c r="Q45" i="3" s="1"/>
  <c r="P23" i="3"/>
  <c r="P45" i="3" s="1"/>
  <c r="O23" i="3"/>
  <c r="O45" i="3" s="1"/>
  <c r="N23" i="3"/>
  <c r="N45" i="3" s="1"/>
  <c r="M23" i="3"/>
  <c r="M45" i="3" s="1"/>
  <c r="L23" i="3"/>
  <c r="L45" i="3" s="1"/>
  <c r="K23" i="3"/>
  <c r="K45" i="3" s="1"/>
  <c r="J23" i="3"/>
  <c r="J45" i="3" s="1"/>
  <c r="I23" i="3"/>
  <c r="I45" i="3" s="1"/>
  <c r="H23" i="3"/>
  <c r="H45" i="3" s="1"/>
  <c r="G23" i="3"/>
  <c r="G45" i="3" s="1"/>
  <c r="F23" i="3"/>
  <c r="F45" i="3" s="1"/>
  <c r="E23" i="3"/>
  <c r="E12" i="3"/>
  <c r="D12" i="3"/>
  <c r="D10" i="3" s="1"/>
  <c r="E38" i="3" l="1"/>
  <c r="J38" i="3"/>
  <c r="K38" i="3"/>
  <c r="L38" i="3"/>
  <c r="L64" i="3" s="1"/>
  <c r="O38" i="3"/>
  <c r="O64" i="3" s="1"/>
  <c r="M38" i="3"/>
  <c r="M64" i="3" s="1"/>
  <c r="P38" i="3"/>
  <c r="H38" i="3"/>
  <c r="I38" i="3"/>
  <c r="E10" i="3"/>
  <c r="Q38" i="3"/>
  <c r="N38" i="3"/>
  <c r="N64" i="3" s="1"/>
  <c r="G38" i="3"/>
  <c r="R23" i="3"/>
  <c r="F38" i="3"/>
  <c r="F64" i="3" s="1"/>
  <c r="R15" i="3"/>
  <c r="J64" i="3" l="1"/>
  <c r="K64" i="3"/>
  <c r="H64" i="3"/>
  <c r="P64" i="3"/>
  <c r="G64" i="3"/>
  <c r="I64" i="3"/>
  <c r="Q64" i="3"/>
  <c r="R38" i="3"/>
  <c r="E41" i="3" l="1"/>
  <c r="E64" i="3" l="1"/>
  <c r="E65" i="3" s="1"/>
  <c r="E66" i="3" s="1"/>
  <c r="E67" i="3" s="1"/>
  <c r="E59" i="3"/>
  <c r="E60" i="3" s="1"/>
  <c r="R41" i="3"/>
  <c r="R45" i="3" l="1"/>
  <c r="E47" i="3"/>
  <c r="R64" i="3"/>
  <c r="E46" i="3"/>
  <c r="E14" i="3" l="1"/>
  <c r="E53" i="3" s="1"/>
  <c r="F12" i="3"/>
  <c r="F59" i="3" s="1"/>
  <c r="F60" i="3" s="1"/>
  <c r="F63" i="3"/>
  <c r="F65" i="3" s="1"/>
  <c r="F66" i="3" s="1"/>
  <c r="F67" i="3" s="1"/>
  <c r="F47" i="3" s="1"/>
  <c r="F10" i="3"/>
  <c r="G11" i="3"/>
  <c r="G12" i="3" s="1"/>
  <c r="E81" i="3" l="1"/>
  <c r="E82" i="3" s="1"/>
  <c r="F46" i="3"/>
  <c r="F14" i="3" s="1"/>
  <c r="F53" i="3" s="1"/>
  <c r="G63" i="3"/>
  <c r="G65" i="3" s="1"/>
  <c r="G66" i="3" s="1"/>
  <c r="G67" i="3" s="1"/>
  <c r="G47" i="3" s="1"/>
  <c r="H12" i="3"/>
  <c r="F81" i="3" l="1"/>
  <c r="G59" i="3"/>
  <c r="I11" i="3"/>
  <c r="I12" i="3" s="1"/>
  <c r="H59" i="3"/>
  <c r="H63" i="3"/>
  <c r="H65" i="3" s="1"/>
  <c r="H66" i="3" s="1"/>
  <c r="H67" i="3" s="1"/>
  <c r="G10" i="3"/>
  <c r="G60" i="3" l="1"/>
  <c r="G46" i="3" s="1"/>
  <c r="G14" i="3" s="1"/>
  <c r="H47" i="3"/>
  <c r="J11" i="3"/>
  <c r="J12" i="3" s="1"/>
  <c r="J59" i="3" s="1"/>
  <c r="I63" i="3"/>
  <c r="I65" i="3" s="1"/>
  <c r="I66" i="3" s="1"/>
  <c r="I67" i="3" s="1"/>
  <c r="I59" i="3"/>
  <c r="H10" i="3"/>
  <c r="G53" i="3" l="1"/>
  <c r="H60" i="3"/>
  <c r="I60" i="3" s="1"/>
  <c r="J60" i="3" s="1"/>
  <c r="I47" i="3"/>
  <c r="I10" i="3"/>
  <c r="J63" i="3"/>
  <c r="J65" i="3" s="1"/>
  <c r="J66" i="3" s="1"/>
  <c r="J67" i="3" s="1"/>
  <c r="K11" i="3"/>
  <c r="K12" i="3" s="1"/>
  <c r="J10" i="3"/>
  <c r="G81" i="3" l="1"/>
  <c r="H46" i="3"/>
  <c r="H14" i="3" s="1"/>
  <c r="J47" i="3"/>
  <c r="I46" i="3"/>
  <c r="I14" i="3" s="1"/>
  <c r="K63" i="3"/>
  <c r="K65" i="3" s="1"/>
  <c r="K66" i="3" s="1"/>
  <c r="K67" i="3" s="1"/>
  <c r="L11" i="3"/>
  <c r="L12" i="3" s="1"/>
  <c r="K59" i="3"/>
  <c r="J46" i="3"/>
  <c r="H53" i="3" l="1"/>
  <c r="I53" i="3" s="1"/>
  <c r="I81" i="3" s="1"/>
  <c r="K47" i="3"/>
  <c r="K60" i="3"/>
  <c r="K46" i="3" s="1"/>
  <c r="J14" i="3"/>
  <c r="L63" i="3"/>
  <c r="L65" i="3" s="1"/>
  <c r="L66" i="3" s="1"/>
  <c r="L67" i="3" s="1"/>
  <c r="M11" i="3"/>
  <c r="M12" i="3" s="1"/>
  <c r="L10" i="3"/>
  <c r="K10" i="3"/>
  <c r="J53" i="3" l="1"/>
  <c r="J81" i="3" s="1"/>
  <c r="H81" i="3"/>
  <c r="K14" i="3"/>
  <c r="L47" i="3"/>
  <c r="L59" i="3"/>
  <c r="L60" i="3" s="1"/>
  <c r="M59" i="3"/>
  <c r="M63" i="3"/>
  <c r="M65" i="3" s="1"/>
  <c r="M66" i="3" s="1"/>
  <c r="M67" i="3" s="1"/>
  <c r="N11" i="3"/>
  <c r="N12" i="3" s="1"/>
  <c r="M10" i="3"/>
  <c r="K53" i="3" l="1"/>
  <c r="K81" i="3" s="1"/>
  <c r="M60" i="3"/>
  <c r="M46" i="3" s="1"/>
  <c r="M47" i="3"/>
  <c r="L46" i="3"/>
  <c r="L14" i="3" s="1"/>
  <c r="N10" i="3"/>
  <c r="N59" i="3"/>
  <c r="O11" i="3"/>
  <c r="O12" i="3" s="1"/>
  <c r="N63" i="3"/>
  <c r="N65" i="3" s="1"/>
  <c r="N66" i="3" s="1"/>
  <c r="N67" i="3" s="1"/>
  <c r="L53" i="3" l="1"/>
  <c r="L81" i="3" s="1"/>
  <c r="M14" i="3"/>
  <c r="N47" i="3"/>
  <c r="N60" i="3"/>
  <c r="O59" i="3"/>
  <c r="O63" i="3"/>
  <c r="O65" i="3" s="1"/>
  <c r="O66" i="3" s="1"/>
  <c r="O67" i="3" s="1"/>
  <c r="P11" i="3"/>
  <c r="P12" i="3" s="1"/>
  <c r="M53" i="3" l="1"/>
  <c r="M81" i="3" s="1"/>
  <c r="O47" i="3"/>
  <c r="O60" i="3"/>
  <c r="N46" i="3"/>
  <c r="N14" i="3" s="1"/>
  <c r="P63" i="3"/>
  <c r="P65" i="3" s="1"/>
  <c r="P66" i="3" s="1"/>
  <c r="P67" i="3" s="1"/>
  <c r="P59" i="3"/>
  <c r="Q11" i="3"/>
  <c r="Q12" i="3" s="1"/>
  <c r="O10" i="3"/>
  <c r="N53" i="3" l="1"/>
  <c r="N81" i="3" s="1"/>
  <c r="P47" i="3"/>
  <c r="P60" i="3"/>
  <c r="P46" i="3" s="1"/>
  <c r="O46" i="3"/>
  <c r="O14" i="3" s="1"/>
  <c r="Q63" i="3"/>
  <c r="Q65" i="3" s="1"/>
  <c r="Q66" i="3" s="1"/>
  <c r="Q67" i="3" s="1"/>
  <c r="Q10" i="3"/>
  <c r="R11" i="3"/>
  <c r="P10" i="3"/>
  <c r="O53" i="3" l="1"/>
  <c r="O81" i="3" s="1"/>
  <c r="R63" i="3"/>
  <c r="R65" i="3" s="1"/>
  <c r="R66" i="3" s="1"/>
  <c r="P14" i="3"/>
  <c r="Q47" i="3"/>
  <c r="R47" i="3" s="1"/>
  <c r="R10" i="3"/>
  <c r="Q59" i="3"/>
  <c r="R12" i="3"/>
  <c r="R59" i="3" s="1"/>
  <c r="P53" i="3" l="1"/>
  <c r="P81" i="3" s="1"/>
  <c r="Q60" i="3"/>
  <c r="Q46" i="3" s="1"/>
  <c r="R46" i="3" l="1"/>
  <c r="Q14" i="3"/>
  <c r="R14" i="3" l="1"/>
  <c r="Q53" i="3"/>
  <c r="Q81" i="3" s="1"/>
  <c r="R53" i="3" l="1"/>
  <c r="R54" i="3" s="1"/>
  <c r="D3" i="3"/>
  <c r="D4" i="3" l="1"/>
  <c r="I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tc={C912498A-CA26-4483-8472-00EBB23A1A6C}</author>
    <author>tc={9914BF6F-7C38-4820-8409-363A8AD89701}</author>
    <author>tc={0242A8FE-D272-4D49-9F05-052F54B2E38D}</author>
  </authors>
  <commentList>
    <comment ref="B2" authorId="0" shapeId="0" xr:uid="{C912498A-CA26-4483-8472-00EBB23A1A6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favor confirmar que estos números están bien.</t>
      </text>
    </comment>
    <comment ref="G2" authorId="1" shapeId="0" xr:uid="{9914BF6F-7C38-4820-8409-363A8AD897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favor confirmar que estos números están bien.</t>
      </text>
    </comment>
    <comment ref="B16" authorId="2" shapeId="0" xr:uid="{0242A8FE-D272-4D49-9F05-052F54B2E38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Unifiqué el concepto "Jefe de Gestión Social" en uno solo para enviarle el archivo al cliente. Por favor revisar si esta unificación no alteró las fórmulas del excel.</t>
      </text>
    </comment>
  </commentList>
</comments>
</file>

<file path=xl/sharedStrings.xml><?xml version="1.0" encoding="utf-8"?>
<sst xmlns="http://schemas.openxmlformats.org/spreadsheetml/2006/main" count="154" uniqueCount="93">
  <si>
    <t>Relacionista Comunitario #3</t>
  </si>
  <si>
    <t xml:space="preserve">Relacionista Comunitario #2 </t>
  </si>
  <si>
    <t xml:space="preserve">Relacionista Comunitario #1 </t>
  </si>
  <si>
    <t xml:space="preserve">Coordinador Relaciones Comunitarias </t>
  </si>
  <si>
    <t>Comunicador</t>
  </si>
  <si>
    <t>Póliza SCTR Pensión y Salud</t>
  </si>
  <si>
    <t>Alquiler de oficina (Todo costo)</t>
  </si>
  <si>
    <t>Viáticos y alojamiemto de personal</t>
  </si>
  <si>
    <t>Movilización y Desmovilización</t>
  </si>
  <si>
    <t>Gastos reuniones y talleres</t>
  </si>
  <si>
    <t>Insumos varios,  impresiones, informes</t>
  </si>
  <si>
    <t>Gastos implementación  medidas anti COVID</t>
  </si>
  <si>
    <t>Equipos de computo(Laptop)</t>
  </si>
  <si>
    <t>Proyector multimedia</t>
  </si>
  <si>
    <t>Parlante</t>
  </si>
  <si>
    <t>Micrófonos</t>
  </si>
  <si>
    <t>Ecran</t>
  </si>
  <si>
    <t>Movilidad, combustible, repuestos,  incluye chofer</t>
  </si>
  <si>
    <t>Junio</t>
  </si>
  <si>
    <t>Julio</t>
  </si>
  <si>
    <t>Agosto</t>
  </si>
  <si>
    <t>Setiembre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</si>
  <si>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</si>
  <si>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</si>
  <si>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</si>
  <si>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</si>
  <si>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</si>
  <si>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</si>
  <si>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</si>
  <si>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</si>
  <si>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Gastos:</t>
  </si>
  <si>
    <t>IGV</t>
  </si>
  <si>
    <t>Ingresos</t>
  </si>
  <si>
    <t>Planilla:</t>
  </si>
  <si>
    <t>Garantía financieras (fianza)</t>
  </si>
  <si>
    <t>IGV al fisco</t>
  </si>
  <si>
    <t>Renta</t>
  </si>
  <si>
    <t>Carta fianza</t>
  </si>
  <si>
    <t>BCP</t>
  </si>
  <si>
    <t>Del total de importe.</t>
  </si>
  <si>
    <t>Importe Py</t>
  </si>
  <si>
    <t>Importe CF</t>
  </si>
  <si>
    <t>Costo de CF</t>
  </si>
  <si>
    <t>Estimado ajustado del valor del servicio</t>
  </si>
  <si>
    <t>Costos</t>
  </si>
  <si>
    <t>Total</t>
  </si>
  <si>
    <t>Total Ingresos:</t>
  </si>
  <si>
    <t>Total Egresos:</t>
  </si>
  <si>
    <t>Préstamo al consorcio</t>
  </si>
  <si>
    <t xml:space="preserve">Interés </t>
  </si>
  <si>
    <t>Devolución de préstamo</t>
  </si>
  <si>
    <t>Seguro Responsabilidad Social</t>
  </si>
  <si>
    <t>Seguro de Vida</t>
  </si>
  <si>
    <t>IGV:</t>
  </si>
  <si>
    <t>IGV Fisco</t>
  </si>
  <si>
    <t>Renta:</t>
  </si>
  <si>
    <t>Interés:</t>
  </si>
  <si>
    <t>Interés  TAMN (especial)</t>
  </si>
  <si>
    <t>Detalle por mes</t>
  </si>
  <si>
    <t>Flujo de caja</t>
  </si>
  <si>
    <t>Rentabilidad General</t>
  </si>
  <si>
    <t>Rentabilidad objetivo</t>
  </si>
  <si>
    <t>Costo Estimado</t>
  </si>
  <si>
    <t>Utilidad Operativa</t>
  </si>
  <si>
    <t>IGV de gasto</t>
  </si>
  <si>
    <t>Rentabilidad</t>
  </si>
  <si>
    <t>Ingreso neto mensual</t>
  </si>
  <si>
    <t>Ingreso Neto Total</t>
  </si>
  <si>
    <t>COK</t>
  </si>
  <si>
    <t>VNP</t>
  </si>
  <si>
    <t>PAY-BACK RATIO (AÑO)</t>
  </si>
  <si>
    <t>PAY-BACK RATIO (MESES)</t>
  </si>
  <si>
    <t>FC DESCONTADO</t>
  </si>
  <si>
    <t>FC DESCONTADO ACUMULADO</t>
  </si>
  <si>
    <t>PERIODO DE RECUPERO DESCONTADO</t>
  </si>
  <si>
    <t>Periodo</t>
  </si>
  <si>
    <t>Contingencia /Gastos Generales</t>
  </si>
  <si>
    <t xml:space="preserve">Préstamo </t>
  </si>
  <si>
    <t xml:space="preserve">Jefe de Gestión Social </t>
  </si>
  <si>
    <t>Gastos De Personal</t>
  </si>
  <si>
    <t>Gastos operativos</t>
  </si>
  <si>
    <t>COSTO  DIRECTO</t>
  </si>
  <si>
    <t>Gastos Generales</t>
  </si>
  <si>
    <t>Utilidades</t>
  </si>
  <si>
    <t>SUBTOTAL DE COSTOS</t>
  </si>
  <si>
    <t>PRESUPUESTO TOTAL DEL PROYECTO</t>
  </si>
  <si>
    <t>UND</t>
  </si>
  <si>
    <t>CANT</t>
  </si>
  <si>
    <t>PU</t>
  </si>
  <si>
    <t>TOTAL</t>
  </si>
  <si>
    <t>Mes</t>
  </si>
  <si>
    <t>Und</t>
  </si>
  <si>
    <t>CASMA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</si>
</sst>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[$S/.-280A]#,##0"/>
    <numFmt numFmtId="167" formatCode="[$$-540A]#,##0_ ;[Red]\-[$$-540A]#,##0\ "/>
    <numFmt numFmtId="168" formatCode="0.0%"/>
    <numFmt numFmtId="169" formatCode="_-* #,##0.0_-;\-* #,##0.0_-;_-* &quot;-&quot;??_-;_-@_-"/>
  </numFmts>
  <fonts count="12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medium">
        <color rgb="FF002060"/>
      </left>
      <right style="thin">
        <color rgb="FFC6D9F0"/>
      </right>
      <top style="medium">
        <color rgb="FF002060"/>
      </top>
      <bottom style="thin">
        <color rgb="FFC6D9F0"/>
      </bottom>
      <diagonal/>
    </border>
    <border>
      <left style="thin">
        <color rgb="FFC6D9F0"/>
      </left>
      <right style="medium">
        <color rgb="FF002060"/>
      </right>
      <top style="medium">
        <color rgb="FF002060"/>
      </top>
      <bottom style="thin">
        <color rgb="FFC6D9F0"/>
      </bottom>
      <diagonal/>
    </border>
    <border>
      <left style="medium">
        <color rgb="FF002060"/>
      </left>
      <right style="thin">
        <color rgb="FFC6D9F0"/>
      </right>
      <top style="thin">
        <color rgb="FFC6D9F0"/>
      </top>
      <bottom style="thin">
        <color rgb="FFC6D9F0"/>
      </bottom>
      <diagonal/>
    </border>
    <border>
      <left style="thin">
        <color rgb="FFC6D9F0"/>
      </left>
      <right style="medium">
        <color rgb="FF002060"/>
      </right>
      <top style="thin">
        <color rgb="FFC6D9F0"/>
      </top>
      <bottom style="thin">
        <color rgb="FFC6D9F0"/>
      </bottom>
      <diagonal/>
    </border>
    <border>
      <left style="medium">
        <color rgb="FF002060"/>
      </left>
      <right style="thin">
        <color rgb="FFC6D9F0"/>
      </right>
      <top style="thin">
        <color rgb="FFC6D9F0"/>
      </top>
      <bottom style="medium">
        <color rgb="FF002060"/>
      </bottom>
      <diagonal/>
    </border>
    <border>
      <left style="thin">
        <color rgb="FFC6D9F0"/>
      </left>
      <right style="medium">
        <color rgb="FF002060"/>
      </right>
      <top style="thin">
        <color rgb="FFC6D9F0"/>
      </top>
      <bottom style="medium">
        <color rgb="FF002060"/>
      </bottom>
      <diagonal/>
    </border>
    <border>
      <left/>
      <right/>
      <top style="thin">
        <color theme="4" tint="0.59999389629810485"/>
      </top>
      <bottom/>
      <diagonal/>
    </border>
    <border>
      <left/>
      <right/>
      <top/>
      <bottom style="thin">
        <color theme="4" tint="0.59999389629810485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 style="dashed">
        <color theme="8"/>
      </left>
      <right style="dashed">
        <color theme="8"/>
      </right>
      <top/>
      <bottom style="dashed">
        <color theme="8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/>
      <right style="dashed">
        <color theme="8"/>
      </right>
      <top style="dashed">
        <color theme="8"/>
      </top>
      <bottom style="dashed">
        <color theme="8"/>
      </bottom>
      <diagonal/>
    </border>
    <border>
      <left/>
      <right style="dashed">
        <color theme="8"/>
      </right>
      <top/>
      <bottom style="dashed">
        <color theme="8"/>
      </bottom>
      <diagonal/>
    </border>
    <border>
      <left/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/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164" fontId="0" fillId="0" borderId="0" xfId="2" applyNumberFormat="1" applyFont="1"/>
    <xf numFmtId="0" fontId="1" fillId="0" borderId="1" xfId="0" applyFont="1" applyBorder="1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1" xfId="0" applyFont="1" applyBorder="1"/>
    <xf numFmtId="164" fontId="1" fillId="0" borderId="0" xfId="2" applyNumberFormat="1" applyFont="1"/>
    <xf numFmtId="164" fontId="0" fillId="0" borderId="0" xfId="0" applyNumberFormat="1"/>
    <xf numFmtId="4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8" xfId="0" applyBorder="1"/>
    <xf numFmtId="0" fontId="0" fillId="0" borderId="0" xfId="0" applyBorder="1"/>
    <xf numFmtId="0" fontId="2" fillId="0" borderId="7" xfId="0" applyFont="1" applyBorder="1"/>
    <xf numFmtId="164" fontId="1" fillId="0" borderId="0" xfId="2" applyNumberFormat="1" applyFont="1" applyBorder="1"/>
    <xf numFmtId="164" fontId="1" fillId="0" borderId="9" xfId="2" applyNumberFormat="1" applyFont="1" applyBorder="1"/>
    <xf numFmtId="0" fontId="0" fillId="0" borderId="9" xfId="0" applyBorder="1"/>
    <xf numFmtId="164" fontId="2" fillId="0" borderId="0" xfId="0" applyNumberFormat="1" applyFont="1" applyBorder="1"/>
    <xf numFmtId="164" fontId="2" fillId="0" borderId="9" xfId="0" applyNumberFormat="1" applyFont="1" applyBorder="1"/>
    <xf numFmtId="164" fontId="0" fillId="0" borderId="0" xfId="2" applyNumberFormat="1" applyFont="1" applyBorder="1"/>
    <xf numFmtId="164" fontId="0" fillId="0" borderId="9" xfId="2" applyNumberFormat="1" applyFont="1" applyBorder="1"/>
    <xf numFmtId="164" fontId="2" fillId="0" borderId="0" xfId="2" applyNumberFormat="1" applyFont="1" applyBorder="1"/>
    <xf numFmtId="164" fontId="2" fillId="0" borderId="9" xfId="2" applyNumberFormat="1" applyFont="1" applyBorder="1"/>
    <xf numFmtId="0" fontId="2" fillId="0" borderId="5" xfId="0" applyFont="1" applyBorder="1"/>
    <xf numFmtId="164" fontId="0" fillId="0" borderId="2" xfId="2" applyNumberFormat="1" applyFont="1" applyBorder="1"/>
    <xf numFmtId="0" fontId="0" fillId="0" borderId="2" xfId="0" applyBorder="1"/>
    <xf numFmtId="0" fontId="0" fillId="0" borderId="12" xfId="0" applyBorder="1"/>
    <xf numFmtId="0" fontId="0" fillId="0" borderId="3" xfId="0" applyBorder="1"/>
    <xf numFmtId="10" fontId="0" fillId="0" borderId="3" xfId="0" applyNumberFormat="1" applyBorder="1"/>
    <xf numFmtId="0" fontId="0" fillId="0" borderId="13" xfId="0" applyBorder="1"/>
    <xf numFmtId="165" fontId="0" fillId="0" borderId="0" xfId="2" applyNumberFormat="1" applyFont="1" applyBorder="1"/>
    <xf numFmtId="0" fontId="0" fillId="0" borderId="14" xfId="0" applyBorder="1"/>
    <xf numFmtId="9" fontId="0" fillId="3" borderId="8" xfId="0" applyNumberForma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5" fontId="0" fillId="4" borderId="16" xfId="2" applyNumberFormat="1" applyFont="1" applyFill="1" applyBorder="1"/>
    <xf numFmtId="0" fontId="2" fillId="4" borderId="0" xfId="0" applyFont="1" applyFill="1" applyAlignment="1">
      <alignment horizontal="left" indent="1"/>
    </xf>
    <xf numFmtId="0" fontId="0" fillId="4" borderId="0" xfId="0" applyFill="1"/>
    <xf numFmtId="164" fontId="2" fillId="0" borderId="2" xfId="2" applyNumberFormat="1" applyFont="1" applyBorder="1"/>
    <xf numFmtId="0" fontId="1" fillId="4" borderId="0" xfId="0" applyFont="1" applyFill="1"/>
    <xf numFmtId="0" fontId="2" fillId="4" borderId="0" xfId="0" applyFont="1" applyFill="1"/>
    <xf numFmtId="164" fontId="2" fillId="4" borderId="0" xfId="2" applyNumberFormat="1" applyFont="1" applyFill="1" applyBorder="1"/>
    <xf numFmtId="164" fontId="2" fillId="4" borderId="9" xfId="2" applyNumberFormat="1" applyFont="1" applyFill="1" applyBorder="1"/>
    <xf numFmtId="164" fontId="2" fillId="4" borderId="2" xfId="2" applyNumberFormat="1" applyFont="1" applyFill="1" applyBorder="1"/>
    <xf numFmtId="0" fontId="0" fillId="0" borderId="1" xfId="0" applyBorder="1"/>
    <xf numFmtId="166" fontId="0" fillId="0" borderId="1" xfId="0" applyNumberFormat="1" applyBorder="1"/>
    <xf numFmtId="165" fontId="0" fillId="0" borderId="1" xfId="2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left"/>
    </xf>
    <xf numFmtId="166" fontId="0" fillId="0" borderId="1" xfId="0" applyNumberFormat="1" applyBorder="1" applyAlignment="1">
      <alignment horizontal="center"/>
    </xf>
    <xf numFmtId="10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9" fontId="0" fillId="0" borderId="1" xfId="1" applyFont="1" applyBorder="1" applyAlignment="1">
      <alignment horizontal="center"/>
    </xf>
    <xf numFmtId="0" fontId="7" fillId="0" borderId="0" xfId="0" applyFont="1"/>
    <xf numFmtId="166" fontId="6" fillId="0" borderId="0" xfId="0" applyNumberFormat="1" applyFont="1" applyAlignment="1">
      <alignment horizontal="center"/>
    </xf>
    <xf numFmtId="168" fontId="0" fillId="0" borderId="0" xfId="1" applyNumberFormat="1" applyFont="1"/>
    <xf numFmtId="9" fontId="0" fillId="0" borderId="0" xfId="0" applyNumberFormat="1"/>
    <xf numFmtId="164" fontId="0" fillId="0" borderId="1" xfId="2" applyNumberFormat="1" applyFont="1" applyBorder="1"/>
    <xf numFmtId="164" fontId="6" fillId="0" borderId="1" xfId="2" applyNumberFormat="1" applyFont="1" applyBorder="1"/>
    <xf numFmtId="164" fontId="6" fillId="0" borderId="18" xfId="2" applyNumberFormat="1" applyFont="1" applyBorder="1" applyAlignment="1">
      <alignment horizontal="center"/>
    </xf>
    <xf numFmtId="164" fontId="6" fillId="0" borderId="19" xfId="2" applyNumberFormat="1" applyFont="1" applyBorder="1" applyAlignment="1">
      <alignment horizontal="center"/>
    </xf>
    <xf numFmtId="164" fontId="0" fillId="0" borderId="13" xfId="0" applyNumberFormat="1" applyBorder="1"/>
    <xf numFmtId="0" fontId="1" fillId="0" borderId="8" xfId="0" applyFont="1" applyBorder="1"/>
    <xf numFmtId="164" fontId="0" fillId="0" borderId="14" xfId="2" applyNumberFormat="1" applyFont="1" applyBorder="1"/>
    <xf numFmtId="0" fontId="1" fillId="0" borderId="15" xfId="0" applyFont="1" applyBorder="1"/>
    <xf numFmtId="168" fontId="0" fillId="0" borderId="17" xfId="1" applyNumberFormat="1" applyFont="1" applyBorder="1"/>
    <xf numFmtId="0" fontId="0" fillId="0" borderId="20" xfId="0" applyBorder="1"/>
    <xf numFmtId="0" fontId="0" fillId="0" borderId="21" xfId="0" applyBorder="1"/>
    <xf numFmtId="164" fontId="1" fillId="0" borderId="4" xfId="2" applyNumberFormat="1" applyFont="1" applyBorder="1"/>
    <xf numFmtId="0" fontId="0" fillId="0" borderId="4" xfId="0" applyBorder="1"/>
    <xf numFmtId="164" fontId="2" fillId="4" borderId="4" xfId="2" applyNumberFormat="1" applyFont="1" applyFill="1" applyBorder="1"/>
    <xf numFmtId="164" fontId="2" fillId="0" borderId="4" xfId="0" applyNumberFormat="1" applyFont="1" applyBorder="1"/>
    <xf numFmtId="164" fontId="0" fillId="0" borderId="4" xfId="2" applyNumberFormat="1" applyFont="1" applyBorder="1"/>
    <xf numFmtId="164" fontId="2" fillId="0" borderId="4" xfId="2" applyNumberFormat="1" applyFont="1" applyBorder="1"/>
    <xf numFmtId="0" fontId="0" fillId="0" borderId="22" xfId="0" applyBorder="1"/>
    <xf numFmtId="0" fontId="0" fillId="0" borderId="23" xfId="0" applyBorder="1"/>
    <xf numFmtId="164" fontId="2" fillId="0" borderId="19" xfId="0" applyNumberFormat="1" applyFont="1" applyBorder="1"/>
    <xf numFmtId="164" fontId="0" fillId="4" borderId="0" xfId="2" applyNumberFormat="1" applyFont="1" applyFill="1"/>
    <xf numFmtId="164" fontId="1" fillId="0" borderId="0" xfId="2" applyNumberFormat="1" applyFont="1" applyAlignment="1">
      <alignment horizontal="left"/>
    </xf>
    <xf numFmtId="0" fontId="9" fillId="5" borderId="24" xfId="3" applyFont="1" applyFill="1" applyBorder="1"/>
    <xf numFmtId="9" fontId="10" fillId="2" borderId="25" xfId="3" applyNumberFormat="1" applyFont="1" applyFill="1" applyBorder="1"/>
    <xf numFmtId="0" fontId="9" fillId="5" borderId="26" xfId="3" applyFont="1" applyFill="1" applyBorder="1"/>
    <xf numFmtId="164" fontId="10" fillId="2" borderId="27" xfId="3" applyNumberFormat="1" applyFont="1" applyFill="1" applyBorder="1"/>
    <xf numFmtId="169" fontId="10" fillId="2" borderId="27" xfId="3" applyNumberFormat="1" applyFont="1" applyFill="1" applyBorder="1"/>
    <xf numFmtId="0" fontId="9" fillId="5" borderId="28" xfId="3" applyFont="1" applyFill="1" applyBorder="1"/>
    <xf numFmtId="169" fontId="10" fillId="2" borderId="29" xfId="4" applyNumberFormat="1" applyFont="1" applyFill="1" applyBorder="1"/>
    <xf numFmtId="0" fontId="9" fillId="0" borderId="30" xfId="3" applyFont="1" applyBorder="1"/>
    <xf numFmtId="0" fontId="9" fillId="0" borderId="0" xfId="3" applyFont="1"/>
    <xf numFmtId="0" fontId="9" fillId="0" borderId="31" xfId="3" applyFont="1" applyBorder="1"/>
    <xf numFmtId="164" fontId="10" fillId="0" borderId="30" xfId="3" applyNumberFormat="1" applyFont="1" applyBorder="1"/>
    <xf numFmtId="43" fontId="0" fillId="0" borderId="0" xfId="2" applyFont="1"/>
    <xf numFmtId="9" fontId="0" fillId="0" borderId="0" xfId="1" applyFont="1"/>
    <xf numFmtId="164" fontId="0" fillId="4" borderId="0" xfId="2" applyNumberFormat="1" applyFont="1" applyFill="1" applyBorder="1"/>
    <xf numFmtId="43" fontId="0" fillId="0" borderId="0" xfId="2" applyFont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164" fontId="2" fillId="6" borderId="0" xfId="0" applyNumberFormat="1" applyFont="1" applyFill="1"/>
    <xf numFmtId="169" fontId="0" fillId="5" borderId="33" xfId="2" applyNumberFormat="1" applyFont="1" applyFill="1" applyBorder="1"/>
    <xf numFmtId="164" fontId="0" fillId="5" borderId="33" xfId="2" applyNumberFormat="1" applyFont="1" applyFill="1" applyBorder="1"/>
    <xf numFmtId="169" fontId="0" fillId="5" borderId="34" xfId="2" applyNumberFormat="1" applyFont="1" applyFill="1" applyBorder="1"/>
    <xf numFmtId="164" fontId="0" fillId="5" borderId="34" xfId="2" applyNumberFormat="1" applyFont="1" applyFill="1" applyBorder="1"/>
    <xf numFmtId="169" fontId="0" fillId="5" borderId="35" xfId="2" applyNumberFormat="1" applyFont="1" applyFill="1" applyBorder="1"/>
    <xf numFmtId="164" fontId="0" fillId="5" borderId="35" xfId="2" applyNumberFormat="1" applyFont="1" applyFill="1" applyBorder="1"/>
    <xf numFmtId="0" fontId="0" fillId="5" borderId="37" xfId="0" applyFill="1" applyBorder="1"/>
    <xf numFmtId="164" fontId="0" fillId="5" borderId="38" xfId="2" applyNumberFormat="1" applyFont="1" applyFill="1" applyBorder="1"/>
    <xf numFmtId="0" fontId="0" fillId="5" borderId="36" xfId="0" applyFill="1" applyBorder="1" applyAlignment="1">
      <alignment horizontal="left" indent="2"/>
    </xf>
    <xf numFmtId="0" fontId="0" fillId="5" borderId="40" xfId="0" applyFill="1" applyBorder="1"/>
    <xf numFmtId="0" fontId="0" fillId="5" borderId="41" xfId="0" applyFill="1" applyBorder="1"/>
    <xf numFmtId="0" fontId="0" fillId="5" borderId="39" xfId="0" applyFill="1" applyBorder="1"/>
    <xf numFmtId="0" fontId="0" fillId="5" borderId="33" xfId="0" applyFill="1" applyBorder="1" applyAlignment="1">
      <alignment horizontal="left" indent="1"/>
    </xf>
    <xf numFmtId="0" fontId="0" fillId="5" borderId="34" xfId="0" applyFill="1" applyBorder="1" applyAlignment="1">
      <alignment horizontal="left" indent="1"/>
    </xf>
    <xf numFmtId="0" fontId="0" fillId="5" borderId="35" xfId="0" applyFill="1" applyBorder="1" applyAlignment="1">
      <alignment horizontal="left" indent="1"/>
    </xf>
    <xf numFmtId="43" fontId="0" fillId="5" borderId="33" xfId="2" applyFont="1" applyFill="1" applyBorder="1" applyAlignment="1">
      <alignment horizontal="right"/>
    </xf>
    <xf numFmtId="43" fontId="0" fillId="5" borderId="34" xfId="2" applyFont="1" applyFill="1" applyBorder="1" applyAlignment="1">
      <alignment horizontal="right"/>
    </xf>
    <xf numFmtId="43" fontId="0" fillId="5" borderId="35" xfId="2" applyFont="1" applyFill="1" applyBorder="1" applyAlignment="1">
      <alignment horizontal="right"/>
    </xf>
    <xf numFmtId="43" fontId="0" fillId="5" borderId="33" xfId="2" applyNumberFormat="1" applyFont="1" applyFill="1" applyBorder="1"/>
    <xf numFmtId="43" fontId="0" fillId="5" borderId="34" xfId="2" applyNumberFormat="1" applyFont="1" applyFill="1" applyBorder="1"/>
    <xf numFmtId="43" fontId="0" fillId="5" borderId="35" xfId="2" applyNumberFormat="1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Border="1" applyAlignment="1">
      <alignment horizontal="left" indent="2"/>
    </xf>
    <xf numFmtId="0" fontId="0" fillId="0" borderId="0" xfId="0" applyFill="1" applyBorder="1"/>
    <xf numFmtId="164" fontId="0" fillId="0" borderId="0" xfId="2" applyNumberFormat="1" applyFont="1" applyFill="1" applyBorder="1"/>
    <xf numFmtId="0" fontId="11" fillId="6" borderId="0" xfId="0" applyFont="1" applyFill="1" applyAlignment="1">
      <alignment horizontal="left" vertical="center"/>
    </xf>
    <xf numFmtId="0" fontId="11" fillId="6" borderId="0" xfId="0" applyFont="1" applyFill="1" applyAlignment="1">
      <alignment vertical="center"/>
    </xf>
    <xf numFmtId="164" fontId="11" fillId="6" borderId="0" xfId="0" applyNumberFormat="1" applyFont="1" applyFill="1" applyAlignment="1">
      <alignment vertical="center"/>
    </xf>
    <xf numFmtId="43" fontId="2" fillId="6" borderId="0" xfId="2" applyFont="1" applyFill="1" applyAlignment="1">
      <alignment horizontal="center"/>
    </xf>
    <xf numFmtId="164" fontId="2" fillId="6" borderId="0" xfId="2" applyNumberFormat="1" applyFont="1" applyFill="1"/>
    <xf numFmtId="0" fontId="2" fillId="6" borderId="3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6" borderId="36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</cellXfs>
  <cellStyles count="5">
    <cellStyle name="Millares" xfId="2" builtinId="3"/>
    <cellStyle name="Millares 3" xfId="4" xr:uid="{E14A7D38-BE1A-45E3-8B9F-EE610CB54DA4}"/>
    <cellStyle name="Normal" xfId="0" builtinId="0"/>
    <cellStyle name="Normal 3" xfId="3" xr:uid="{0C4F7B20-3A7B-42B9-B70F-CEB80D4B5B6A}"/>
    <cellStyle name="Porcentaje" xfId="1" builtinId="5"/>
  </cellStyles>
  <dxfs count="3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sé Miguel Mazuré" id="{5C7CA4FE-D6B6-47DB-A48C-2A22439DB875}" userId="S::jmazure@mafirma.com.pe::375e7cd7-d42f-4fe8-8f23-ab22b6bec69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2-05-18T15:49:26.28" personId="{5C7CA4FE-D6B6-47DB-A48C-2A22439DB875}" id="{C912498A-CA26-4483-8472-00EBB23A1A6C}">
    <text>Por favor confirmar que estos números están bien.</text>
  </threadedComment>
  <threadedComment ref="G2" dT="2022-05-18T15:49:12.99" personId="{5C7CA4FE-D6B6-47DB-A48C-2A22439DB875}" id="{9914BF6F-7C38-4820-8409-363A8AD89701}">
    <text>Por favor confirmar que estos números están bien.</text>
  </threadedComment>
  <threadedComment ref="B16" dT="2022-05-18T15:48:52.92" personId="{5C7CA4FE-D6B6-47DB-A48C-2A22439DB875}" id="{0242A8FE-D272-4D49-9F05-052F54B2E38D}">
    <text>Unifiqué el concepto "Jefe de Gestión Social" en uno solo para enviarle el archivo al cliente. Por favor revisar si esta unificación no alteró las fórmulas del excel.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F229-5DF0-451B-92BB-76AC718E788A}">
  <dimension ref="B1:F5"/>
  <sheetViews>
    <sheetView showGridLines="0" workbookViewId="0">
      <selection activeCell="D3" sqref="D3"/>
    </sheetView>
  </sheetViews>
  <sheetFormatPr baseColWidth="10" defaultRowHeight="14.4" x14ac:dyDescent="0.3"/>
  <sheetData>
    <row r="1" spans="2:6" ht="15" thickBot="1" x14ac:dyDescent="0.35"/>
    <row r="2" spans="2:6" x14ac:dyDescent="0.3">
      <c r="B2" s="28" t="s">
        <v>37</v>
      </c>
      <c r="C2" s="29" t="s">
        <v>38</v>
      </c>
      <c r="D2" s="30">
        <v>1.8499999999999999E-2</v>
      </c>
      <c r="E2" s="29" t="s">
        <v>39</v>
      </c>
      <c r="F2" s="31"/>
    </row>
    <row r="3" spans="2:6" x14ac:dyDescent="0.3">
      <c r="B3" s="13"/>
      <c r="C3" s="14" t="s">
        <v>40</v>
      </c>
      <c r="D3" s="32">
        <v>2596047.4247841821</v>
      </c>
      <c r="E3" s="14"/>
      <c r="F3" s="33"/>
    </row>
    <row r="4" spans="2:6" x14ac:dyDescent="0.3">
      <c r="B4" s="34">
        <v>0.1</v>
      </c>
      <c r="C4" s="14" t="s">
        <v>41</v>
      </c>
      <c r="D4" s="32">
        <f>+D3*B4</f>
        <v>259604.74247841822</v>
      </c>
      <c r="E4" s="14"/>
      <c r="F4" s="33"/>
    </row>
    <row r="5" spans="2:6" ht="15" thickBot="1" x14ac:dyDescent="0.35">
      <c r="B5" s="35"/>
      <c r="C5" s="36" t="s">
        <v>42</v>
      </c>
      <c r="D5" s="38">
        <f>+D4*D2</f>
        <v>4802.6877358507372</v>
      </c>
      <c r="E5" s="36"/>
      <c r="F5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F29B-3E4D-43A7-801C-597134961CE1}">
  <dimension ref="A1:S89"/>
  <sheetViews>
    <sheetView showGridLines="0" topLeftCell="A29" zoomScale="80" zoomScaleNormal="80" workbookViewId="0">
      <selection activeCell="S45" sqref="S45"/>
    </sheetView>
  </sheetViews>
  <sheetFormatPr baseColWidth="10" defaultRowHeight="14.4" outlineLevelRow="1" x14ac:dyDescent="0.3"/>
  <cols>
    <col min="2" max="2" width="30.21875" customWidth="1"/>
    <col min="3" max="3" width="5.5546875" customWidth="1"/>
    <col min="4" max="4" width="12.77734375" bestFit="1" customWidth="1"/>
    <col min="5" max="8" width="11.6640625" bestFit="1" customWidth="1"/>
    <col min="9" max="9" width="12.77734375" bestFit="1" customWidth="1"/>
    <col min="10" max="12" width="11.6640625" bestFit="1" customWidth="1"/>
    <col min="13" max="17" width="13" bestFit="1" customWidth="1"/>
    <col min="18" max="18" width="12.77734375" bestFit="1" customWidth="1"/>
  </cols>
  <sheetData>
    <row r="1" spans="2:19" ht="15" thickBot="1" x14ac:dyDescent="0.35"/>
    <row r="2" spans="2:19" x14ac:dyDescent="0.3">
      <c r="B2" s="28" t="s">
        <v>43</v>
      </c>
      <c r="C2" s="29"/>
      <c r="D2" s="64">
        <f>+R10</f>
        <v>2251014.2023522751</v>
      </c>
      <c r="G2" s="1" t="s">
        <v>61</v>
      </c>
      <c r="H2" s="1"/>
      <c r="I2" s="59">
        <v>0.06</v>
      </c>
    </row>
    <row r="3" spans="2:19" x14ac:dyDescent="0.3">
      <c r="B3" s="65" t="s">
        <v>44</v>
      </c>
      <c r="C3" s="14"/>
      <c r="D3" s="66">
        <f>+R14+R50</f>
        <v>2115414.4955922924</v>
      </c>
      <c r="G3" s="1" t="s">
        <v>62</v>
      </c>
      <c r="H3" s="1"/>
      <c r="I3" s="8">
        <f>+D3</f>
        <v>2115414.4955922924</v>
      </c>
    </row>
    <row r="4" spans="2:19" ht="15" thickBot="1" x14ac:dyDescent="0.35">
      <c r="B4" s="67" t="s">
        <v>65</v>
      </c>
      <c r="C4" s="36"/>
      <c r="D4" s="68">
        <f>+(D2-D3)/D2</f>
        <v>6.0239383038224785E-2</v>
      </c>
      <c r="G4" s="81" t="s">
        <v>67</v>
      </c>
      <c r="H4" s="7"/>
      <c r="I4" s="2">
        <v>1907639.1545358265</v>
      </c>
    </row>
    <row r="5" spans="2:19" x14ac:dyDescent="0.3">
      <c r="G5" s="58" t="s">
        <v>66</v>
      </c>
      <c r="H5" s="58"/>
      <c r="I5" s="2">
        <f>+I4/10</f>
        <v>190763.91545358265</v>
      </c>
    </row>
    <row r="8" spans="2:19" x14ac:dyDescent="0.3">
      <c r="D8" s="134">
        <v>2022</v>
      </c>
      <c r="E8" s="135"/>
      <c r="F8" s="135"/>
      <c r="G8" s="135"/>
      <c r="H8" s="135"/>
      <c r="I8" s="135"/>
      <c r="J8" s="135"/>
      <c r="K8" s="135"/>
      <c r="L8" s="134">
        <v>2023</v>
      </c>
      <c r="M8" s="135"/>
      <c r="N8" s="135"/>
      <c r="O8" s="135"/>
      <c r="P8" s="135"/>
      <c r="Q8" s="136"/>
      <c r="R8" s="137" t="s">
        <v>45</v>
      </c>
    </row>
    <row r="9" spans="2:19" x14ac:dyDescent="0.3">
      <c r="D9" s="6" t="s">
        <v>29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25" t="s">
        <v>24</v>
      </c>
      <c r="L9" s="6" t="s">
        <v>25</v>
      </c>
      <c r="M9" s="6" t="s">
        <v>26</v>
      </c>
      <c r="N9" s="6" t="s">
        <v>27</v>
      </c>
      <c r="O9" s="6" t="s">
        <v>28</v>
      </c>
      <c r="P9" s="6" t="s">
        <v>29</v>
      </c>
      <c r="Q9" s="6" t="s">
        <v>18</v>
      </c>
      <c r="R9" s="138"/>
    </row>
    <row r="10" spans="2:19" x14ac:dyDescent="0.3">
      <c r="B10" s="39" t="s">
        <v>46</v>
      </c>
      <c r="C10" s="40"/>
      <c r="D10" s="44">
        <f>+D11+D12</f>
        <v>0</v>
      </c>
      <c r="E10" s="44">
        <f t="shared" ref="E10:Q10" si="0">+E11+E12</f>
        <v>0</v>
      </c>
      <c r="F10" s="44">
        <f t="shared" si="0"/>
        <v>0</v>
      </c>
      <c r="G10" s="44">
        <f t="shared" si="0"/>
        <v>0</v>
      </c>
      <c r="H10" s="44">
        <f t="shared" si="0"/>
        <v>225101.42023522753</v>
      </c>
      <c r="I10" s="44">
        <f t="shared" si="0"/>
        <v>225101.42023522753</v>
      </c>
      <c r="J10" s="44">
        <f t="shared" si="0"/>
        <v>225101.42023522753</v>
      </c>
      <c r="K10" s="44">
        <f t="shared" si="0"/>
        <v>225101.42023522753</v>
      </c>
      <c r="L10" s="73">
        <f t="shared" si="0"/>
        <v>225101.42023522753</v>
      </c>
      <c r="M10" s="44">
        <f t="shared" si="0"/>
        <v>225101.42023522753</v>
      </c>
      <c r="N10" s="44">
        <f t="shared" si="0"/>
        <v>225101.42023522753</v>
      </c>
      <c r="O10" s="44">
        <f t="shared" si="0"/>
        <v>225101.42023522753</v>
      </c>
      <c r="P10" s="44">
        <f t="shared" si="0"/>
        <v>225101.42023522753</v>
      </c>
      <c r="Q10" s="45">
        <f t="shared" si="0"/>
        <v>225101.42023522753</v>
      </c>
      <c r="R10" s="46">
        <f>+SUM(E10:Q10)</f>
        <v>2251014.2023522751</v>
      </c>
    </row>
    <row r="11" spans="2:19" x14ac:dyDescent="0.3">
      <c r="B11" s="1" t="s">
        <v>32</v>
      </c>
      <c r="D11" s="16"/>
      <c r="E11" s="16"/>
      <c r="F11" s="16">
        <v>0</v>
      </c>
      <c r="G11" s="16">
        <f>+F11</f>
        <v>0</v>
      </c>
      <c r="H11" s="16">
        <f>+I5</f>
        <v>190763.91545358265</v>
      </c>
      <c r="I11" s="16">
        <f t="shared" ref="I11:Q11" si="1">+H11</f>
        <v>190763.91545358265</v>
      </c>
      <c r="J11" s="16">
        <f t="shared" si="1"/>
        <v>190763.91545358265</v>
      </c>
      <c r="K11" s="16">
        <f t="shared" si="1"/>
        <v>190763.91545358265</v>
      </c>
      <c r="L11" s="71">
        <f t="shared" si="1"/>
        <v>190763.91545358265</v>
      </c>
      <c r="M11" s="16">
        <f t="shared" si="1"/>
        <v>190763.91545358265</v>
      </c>
      <c r="N11" s="16">
        <f t="shared" si="1"/>
        <v>190763.91545358265</v>
      </c>
      <c r="O11" s="16">
        <f t="shared" si="1"/>
        <v>190763.91545358265</v>
      </c>
      <c r="P11" s="16">
        <f t="shared" si="1"/>
        <v>190763.91545358265</v>
      </c>
      <c r="Q11" s="17">
        <f t="shared" si="1"/>
        <v>190763.91545358265</v>
      </c>
      <c r="R11" s="26">
        <f t="shared" ref="R11:R50" si="2">+SUM(E11:Q11)</f>
        <v>1907639.1545358263</v>
      </c>
      <c r="S11" s="8"/>
    </row>
    <row r="12" spans="2:19" x14ac:dyDescent="0.3">
      <c r="B12" s="1" t="s">
        <v>31</v>
      </c>
      <c r="D12" s="16">
        <f>+D11*1.18</f>
        <v>0</v>
      </c>
      <c r="E12" s="16">
        <f t="shared" ref="E12" si="3">+E11*1.18</f>
        <v>0</v>
      </c>
      <c r="F12" s="16">
        <f>+F11*0.18</f>
        <v>0</v>
      </c>
      <c r="G12" s="16">
        <f t="shared" ref="G12:Q12" si="4">+G11*0.18</f>
        <v>0</v>
      </c>
      <c r="H12" s="16">
        <f t="shared" si="4"/>
        <v>34337.504781644879</v>
      </c>
      <c r="I12" s="16">
        <f t="shared" si="4"/>
        <v>34337.504781644879</v>
      </c>
      <c r="J12" s="16">
        <f t="shared" si="4"/>
        <v>34337.504781644879</v>
      </c>
      <c r="K12" s="16">
        <f t="shared" si="4"/>
        <v>34337.504781644879</v>
      </c>
      <c r="L12" s="71">
        <f t="shared" si="4"/>
        <v>34337.504781644879</v>
      </c>
      <c r="M12" s="16">
        <f t="shared" si="4"/>
        <v>34337.504781644879</v>
      </c>
      <c r="N12" s="16">
        <f t="shared" si="4"/>
        <v>34337.504781644879</v>
      </c>
      <c r="O12" s="16">
        <f t="shared" si="4"/>
        <v>34337.504781644879</v>
      </c>
      <c r="P12" s="16">
        <f t="shared" si="4"/>
        <v>34337.504781644879</v>
      </c>
      <c r="Q12" s="17">
        <f t="shared" si="4"/>
        <v>34337.504781644879</v>
      </c>
      <c r="R12" s="26">
        <f t="shared" si="2"/>
        <v>343375.04781644884</v>
      </c>
      <c r="S12" s="8"/>
    </row>
    <row r="13" spans="2:19" x14ac:dyDescent="0.3">
      <c r="B13" s="1"/>
      <c r="D13" s="14"/>
      <c r="E13" s="14"/>
      <c r="F13" s="14"/>
      <c r="G13" s="14"/>
      <c r="H13" s="14"/>
      <c r="I13" s="14"/>
      <c r="J13" s="14"/>
      <c r="K13" s="14"/>
      <c r="L13" s="72"/>
      <c r="M13" s="14"/>
      <c r="N13" s="14"/>
      <c r="O13" s="14"/>
      <c r="P13" s="14"/>
      <c r="Q13" s="18"/>
      <c r="R13" s="26"/>
    </row>
    <row r="14" spans="2:19" x14ac:dyDescent="0.3">
      <c r="B14" s="39" t="s">
        <v>47</v>
      </c>
      <c r="C14" s="43"/>
      <c r="D14" s="44"/>
      <c r="E14" s="44">
        <f>+E15+E23+E38+SUM(E41:E47)</f>
        <v>147183.67511804745</v>
      </c>
      <c r="F14" s="44">
        <f t="shared" ref="F14:R14" si="5">+F15+F23+F38+SUM(F40:F47)</f>
        <v>144668.09358974357</v>
      </c>
      <c r="G14" s="44">
        <f t="shared" si="5"/>
        <v>144668.09358974357</v>
      </c>
      <c r="H14" s="44">
        <f t="shared" si="5"/>
        <v>144668.09358974357</v>
      </c>
      <c r="I14" s="44">
        <f t="shared" si="5"/>
        <v>144668.09358974357</v>
      </c>
      <c r="J14" s="44">
        <f t="shared" si="5"/>
        <v>151057.07952684048</v>
      </c>
      <c r="K14" s="44">
        <f t="shared" si="5"/>
        <v>163436.26760215769</v>
      </c>
      <c r="L14" s="73">
        <f t="shared" si="5"/>
        <v>163436.26760215769</v>
      </c>
      <c r="M14" s="44">
        <f t="shared" si="5"/>
        <v>163436.26760215769</v>
      </c>
      <c r="N14" s="44">
        <f t="shared" si="5"/>
        <v>176951.79027238762</v>
      </c>
      <c r="O14" s="44">
        <f t="shared" si="5"/>
        <v>181935.81339207865</v>
      </c>
      <c r="P14" s="44">
        <f t="shared" si="5"/>
        <v>181935.81339207865</v>
      </c>
      <c r="Q14" s="45">
        <f t="shared" si="5"/>
        <v>181935.81339207865</v>
      </c>
      <c r="R14" s="46">
        <f t="shared" si="5"/>
        <v>2089981.1622589589</v>
      </c>
    </row>
    <row r="15" spans="2:19" x14ac:dyDescent="0.3">
      <c r="B15" s="5" t="s">
        <v>33</v>
      </c>
      <c r="D15" s="14"/>
      <c r="E15" s="19">
        <f t="shared" ref="E15:Q15" si="6">+SUM(E16:E21)</f>
        <v>49050</v>
      </c>
      <c r="F15" s="19">
        <f t="shared" si="6"/>
        <v>67300</v>
      </c>
      <c r="G15" s="19">
        <f t="shared" si="6"/>
        <v>67300</v>
      </c>
      <c r="H15" s="19">
        <f t="shared" si="6"/>
        <v>67300</v>
      </c>
      <c r="I15" s="19">
        <f t="shared" si="6"/>
        <v>67300</v>
      </c>
      <c r="J15" s="19">
        <f t="shared" si="6"/>
        <v>67300</v>
      </c>
      <c r="K15" s="19">
        <f t="shared" si="6"/>
        <v>67300</v>
      </c>
      <c r="L15" s="74">
        <f t="shared" si="6"/>
        <v>67300</v>
      </c>
      <c r="M15" s="19">
        <f t="shared" si="6"/>
        <v>67300</v>
      </c>
      <c r="N15" s="19">
        <f t="shared" si="6"/>
        <v>67300</v>
      </c>
      <c r="O15" s="19">
        <f t="shared" si="6"/>
        <v>67300</v>
      </c>
      <c r="P15" s="19">
        <f t="shared" si="6"/>
        <v>67300</v>
      </c>
      <c r="Q15" s="20">
        <f t="shared" si="6"/>
        <v>67300</v>
      </c>
      <c r="R15" s="41">
        <f t="shared" si="2"/>
        <v>856650</v>
      </c>
    </row>
    <row r="16" spans="2:19" x14ac:dyDescent="0.3">
      <c r="B16" s="1" t="s">
        <v>78</v>
      </c>
      <c r="D16" s="14"/>
      <c r="E16" s="21">
        <v>30800</v>
      </c>
      <c r="F16" s="21">
        <v>30800</v>
      </c>
      <c r="G16" s="21">
        <v>30800</v>
      </c>
      <c r="H16" s="21">
        <v>30800</v>
      </c>
      <c r="I16" s="21">
        <v>30800</v>
      </c>
      <c r="J16" s="21">
        <v>30800</v>
      </c>
      <c r="K16" s="21">
        <v>30800</v>
      </c>
      <c r="L16" s="21">
        <v>30800</v>
      </c>
      <c r="M16" s="21">
        <v>30800</v>
      </c>
      <c r="N16" s="21">
        <v>30800</v>
      </c>
      <c r="O16" s="21">
        <v>30800</v>
      </c>
      <c r="P16" s="21">
        <v>30800</v>
      </c>
      <c r="Q16" s="21">
        <v>30800</v>
      </c>
      <c r="R16" s="26">
        <f t="shared" si="2"/>
        <v>400400</v>
      </c>
    </row>
    <row r="17" spans="2:19" x14ac:dyDescent="0.3">
      <c r="B17" t="s">
        <v>3</v>
      </c>
      <c r="D17" s="14"/>
      <c r="E17" s="21">
        <f>+F17/2</f>
        <v>4500</v>
      </c>
      <c r="F17" s="21">
        <v>9000</v>
      </c>
      <c r="G17" s="21">
        <v>9000</v>
      </c>
      <c r="H17" s="21">
        <v>9000</v>
      </c>
      <c r="I17" s="21">
        <v>9000</v>
      </c>
      <c r="J17" s="21">
        <v>9000</v>
      </c>
      <c r="K17" s="21">
        <v>9000</v>
      </c>
      <c r="L17" s="75">
        <v>9000</v>
      </c>
      <c r="M17" s="21">
        <v>9000</v>
      </c>
      <c r="N17" s="21">
        <v>9000</v>
      </c>
      <c r="O17" s="21">
        <v>9000</v>
      </c>
      <c r="P17" s="21">
        <v>9000</v>
      </c>
      <c r="Q17" s="22">
        <v>9000</v>
      </c>
      <c r="R17" s="26">
        <f t="shared" si="2"/>
        <v>112500</v>
      </c>
    </row>
    <row r="18" spans="2:19" x14ac:dyDescent="0.3">
      <c r="B18" t="s">
        <v>2</v>
      </c>
      <c r="D18" s="14"/>
      <c r="E18" s="21">
        <f>+F18/2</f>
        <v>4250</v>
      </c>
      <c r="F18" s="21">
        <v>8500</v>
      </c>
      <c r="G18" s="21">
        <v>8500</v>
      </c>
      <c r="H18" s="21">
        <v>8500</v>
      </c>
      <c r="I18" s="21">
        <v>8500</v>
      </c>
      <c r="J18" s="21">
        <v>8500</v>
      </c>
      <c r="K18" s="21">
        <v>8500</v>
      </c>
      <c r="L18" s="75">
        <v>8500</v>
      </c>
      <c r="M18" s="21">
        <v>8500</v>
      </c>
      <c r="N18" s="21">
        <v>8500</v>
      </c>
      <c r="O18" s="21">
        <v>8500</v>
      </c>
      <c r="P18" s="21">
        <v>8500</v>
      </c>
      <c r="Q18" s="22">
        <v>8500</v>
      </c>
      <c r="R18" s="26">
        <f t="shared" si="2"/>
        <v>106250</v>
      </c>
    </row>
    <row r="19" spans="2:19" x14ac:dyDescent="0.3">
      <c r="B19" t="s">
        <v>1</v>
      </c>
      <c r="D19" s="14"/>
      <c r="E19" s="21">
        <f>+F19/2</f>
        <v>3000</v>
      </c>
      <c r="F19" s="21">
        <v>6000</v>
      </c>
      <c r="G19" s="21">
        <v>6000</v>
      </c>
      <c r="H19" s="21">
        <v>6000</v>
      </c>
      <c r="I19" s="21">
        <v>6000</v>
      </c>
      <c r="J19" s="21">
        <v>6000</v>
      </c>
      <c r="K19" s="21">
        <v>6000</v>
      </c>
      <c r="L19" s="75">
        <v>6000</v>
      </c>
      <c r="M19" s="21">
        <v>6000</v>
      </c>
      <c r="N19" s="21">
        <v>6000</v>
      </c>
      <c r="O19" s="21">
        <v>6000</v>
      </c>
      <c r="P19" s="21">
        <v>6000</v>
      </c>
      <c r="Q19" s="22">
        <v>6000</v>
      </c>
      <c r="R19" s="26">
        <f t="shared" si="2"/>
        <v>75000</v>
      </c>
    </row>
    <row r="20" spans="2:19" x14ac:dyDescent="0.3">
      <c r="B20" t="s">
        <v>0</v>
      </c>
      <c r="D20" s="14"/>
      <c r="E20" s="21">
        <f>+F20/2</f>
        <v>3250</v>
      </c>
      <c r="F20" s="21">
        <v>6500</v>
      </c>
      <c r="G20" s="21">
        <v>6500</v>
      </c>
      <c r="H20" s="21">
        <v>6500</v>
      </c>
      <c r="I20" s="21">
        <v>6500</v>
      </c>
      <c r="J20" s="21">
        <v>6500</v>
      </c>
      <c r="K20" s="21">
        <v>6500</v>
      </c>
      <c r="L20" s="75">
        <v>6500</v>
      </c>
      <c r="M20" s="21">
        <v>6500</v>
      </c>
      <c r="N20" s="21">
        <v>6500</v>
      </c>
      <c r="O20" s="21">
        <v>6500</v>
      </c>
      <c r="P20" s="21">
        <v>6500</v>
      </c>
      <c r="Q20" s="22">
        <v>6500</v>
      </c>
      <c r="R20" s="26">
        <f t="shared" si="2"/>
        <v>81250</v>
      </c>
    </row>
    <row r="21" spans="2:19" x14ac:dyDescent="0.3">
      <c r="B21" t="s">
        <v>4</v>
      </c>
      <c r="D21" s="14"/>
      <c r="E21" s="21">
        <f>+F21/2</f>
        <v>3250</v>
      </c>
      <c r="F21" s="21">
        <v>6500</v>
      </c>
      <c r="G21" s="21">
        <v>6500</v>
      </c>
      <c r="H21" s="21">
        <v>6500</v>
      </c>
      <c r="I21" s="21">
        <v>6500</v>
      </c>
      <c r="J21" s="21">
        <v>6500</v>
      </c>
      <c r="K21" s="21">
        <v>6500</v>
      </c>
      <c r="L21" s="75">
        <v>6500</v>
      </c>
      <c r="M21" s="21">
        <v>6500</v>
      </c>
      <c r="N21" s="21">
        <v>6500</v>
      </c>
      <c r="O21" s="21">
        <v>6500</v>
      </c>
      <c r="P21" s="21">
        <v>6500</v>
      </c>
      <c r="Q21" s="22">
        <v>6500</v>
      </c>
      <c r="R21" s="26">
        <f t="shared" si="2"/>
        <v>81250</v>
      </c>
    </row>
    <row r="22" spans="2:19" x14ac:dyDescent="0.3">
      <c r="D22" s="14"/>
      <c r="E22" s="14"/>
      <c r="F22" s="14"/>
      <c r="G22" s="14"/>
      <c r="H22" s="14"/>
      <c r="I22" s="14"/>
      <c r="J22" s="14"/>
      <c r="K22" s="14"/>
      <c r="L22" s="72"/>
      <c r="M22" s="14"/>
      <c r="N22" s="14"/>
      <c r="O22" s="14"/>
      <c r="P22" s="14"/>
      <c r="Q22" s="18"/>
      <c r="R22" s="26"/>
    </row>
    <row r="23" spans="2:19" x14ac:dyDescent="0.3">
      <c r="B23" s="5" t="s">
        <v>30</v>
      </c>
      <c r="D23" s="14"/>
      <c r="E23" s="19">
        <f>+SUM(E24:E36)</f>
        <v>67766.615384615376</v>
      </c>
      <c r="F23" s="19">
        <f t="shared" ref="F23:Q23" si="7">+SUM(F24:F36)</f>
        <v>54749.615384615383</v>
      </c>
      <c r="G23" s="19">
        <f t="shared" si="7"/>
        <v>54749.615384615383</v>
      </c>
      <c r="H23" s="19">
        <f t="shared" si="7"/>
        <v>54749.615384615383</v>
      </c>
      <c r="I23" s="19">
        <f t="shared" si="7"/>
        <v>54749.615384615383</v>
      </c>
      <c r="J23" s="19">
        <f t="shared" si="7"/>
        <v>54749.615384615383</v>
      </c>
      <c r="K23" s="19">
        <f t="shared" si="7"/>
        <v>54749.615384615383</v>
      </c>
      <c r="L23" s="74">
        <f t="shared" si="7"/>
        <v>54749.615384615383</v>
      </c>
      <c r="M23" s="19">
        <f t="shared" si="7"/>
        <v>54749.615384615383</v>
      </c>
      <c r="N23" s="19">
        <f t="shared" si="7"/>
        <v>54749.615384615383</v>
      </c>
      <c r="O23" s="19">
        <f t="shared" si="7"/>
        <v>54749.615384615383</v>
      </c>
      <c r="P23" s="19">
        <f t="shared" si="7"/>
        <v>54749.615384615383</v>
      </c>
      <c r="Q23" s="20">
        <f t="shared" si="7"/>
        <v>54749.615384615383</v>
      </c>
      <c r="R23" s="41">
        <f t="shared" si="2"/>
        <v>724761.99999999988</v>
      </c>
      <c r="S23" s="94"/>
    </row>
    <row r="24" spans="2:19" x14ac:dyDescent="0.3">
      <c r="B24" t="s">
        <v>8</v>
      </c>
      <c r="D24" s="14"/>
      <c r="E24" s="21">
        <v>2400</v>
      </c>
      <c r="F24" s="21">
        <v>2400</v>
      </c>
      <c r="G24" s="21">
        <v>2400</v>
      </c>
      <c r="H24" s="21">
        <v>2400</v>
      </c>
      <c r="I24" s="21">
        <v>2400</v>
      </c>
      <c r="J24" s="21">
        <v>2400</v>
      </c>
      <c r="K24" s="21">
        <v>2400</v>
      </c>
      <c r="L24" s="75">
        <v>2400</v>
      </c>
      <c r="M24" s="21">
        <v>2400</v>
      </c>
      <c r="N24" s="21">
        <v>2400</v>
      </c>
      <c r="O24" s="21">
        <v>2400</v>
      </c>
      <c r="P24" s="21">
        <v>2400</v>
      </c>
      <c r="Q24" s="22">
        <v>2400</v>
      </c>
      <c r="R24" s="26">
        <f t="shared" si="2"/>
        <v>31200</v>
      </c>
    </row>
    <row r="25" spans="2:19" x14ac:dyDescent="0.3">
      <c r="B25" t="s">
        <v>7</v>
      </c>
      <c r="D25" s="14"/>
      <c r="E25" s="21">
        <v>17100</v>
      </c>
      <c r="F25" s="21">
        <v>17100</v>
      </c>
      <c r="G25" s="21">
        <v>17100</v>
      </c>
      <c r="H25" s="21">
        <v>17100</v>
      </c>
      <c r="I25" s="21">
        <v>17100</v>
      </c>
      <c r="J25" s="21">
        <v>17100</v>
      </c>
      <c r="K25" s="21">
        <v>17100</v>
      </c>
      <c r="L25" s="75">
        <v>17100</v>
      </c>
      <c r="M25" s="21">
        <v>17100</v>
      </c>
      <c r="N25" s="21">
        <v>17100</v>
      </c>
      <c r="O25" s="21">
        <v>17100</v>
      </c>
      <c r="P25" s="21">
        <v>17100</v>
      </c>
      <c r="Q25" s="22">
        <v>17100</v>
      </c>
      <c r="R25" s="26">
        <f t="shared" si="2"/>
        <v>222300</v>
      </c>
    </row>
    <row r="26" spans="2:19" x14ac:dyDescent="0.3">
      <c r="B26" t="s">
        <v>6</v>
      </c>
      <c r="D26" s="14"/>
      <c r="E26" s="21">
        <v>3365</v>
      </c>
      <c r="F26" s="21">
        <v>3365</v>
      </c>
      <c r="G26" s="21">
        <v>3365</v>
      </c>
      <c r="H26" s="21">
        <v>3365</v>
      </c>
      <c r="I26" s="21">
        <v>3365</v>
      </c>
      <c r="J26" s="21">
        <v>3365</v>
      </c>
      <c r="K26" s="21">
        <v>3365</v>
      </c>
      <c r="L26" s="75">
        <v>3365</v>
      </c>
      <c r="M26" s="21">
        <v>3365</v>
      </c>
      <c r="N26" s="21">
        <v>3365</v>
      </c>
      <c r="O26" s="21">
        <v>3365</v>
      </c>
      <c r="P26" s="21">
        <v>3365</v>
      </c>
      <c r="Q26" s="22">
        <v>3365</v>
      </c>
      <c r="R26" s="26">
        <f t="shared" si="2"/>
        <v>43745</v>
      </c>
    </row>
    <row r="27" spans="2:19" x14ac:dyDescent="0.3">
      <c r="B27" t="s">
        <v>17</v>
      </c>
      <c r="D27" s="14"/>
      <c r="E27" s="21">
        <v>26000</v>
      </c>
      <c r="F27" s="21">
        <v>26000</v>
      </c>
      <c r="G27" s="21">
        <v>26000</v>
      </c>
      <c r="H27" s="21">
        <v>26000</v>
      </c>
      <c r="I27" s="21">
        <v>26000</v>
      </c>
      <c r="J27" s="21">
        <v>26000</v>
      </c>
      <c r="K27" s="21">
        <v>26000</v>
      </c>
      <c r="L27" s="75">
        <v>26000</v>
      </c>
      <c r="M27" s="21">
        <v>26000</v>
      </c>
      <c r="N27" s="21">
        <v>26000</v>
      </c>
      <c r="O27" s="21">
        <v>26000</v>
      </c>
      <c r="P27" s="21">
        <v>26000</v>
      </c>
      <c r="Q27" s="22">
        <v>26000</v>
      </c>
      <c r="R27" s="26">
        <f t="shared" si="2"/>
        <v>338000</v>
      </c>
    </row>
    <row r="28" spans="2:19" x14ac:dyDescent="0.3">
      <c r="B28" t="s">
        <v>9</v>
      </c>
      <c r="D28" s="14"/>
      <c r="E28" s="21">
        <v>1250</v>
      </c>
      <c r="F28" s="21">
        <v>1250</v>
      </c>
      <c r="G28" s="21">
        <v>1250</v>
      </c>
      <c r="H28" s="21">
        <v>1250</v>
      </c>
      <c r="I28" s="21">
        <v>1250</v>
      </c>
      <c r="J28" s="21">
        <v>1250</v>
      </c>
      <c r="K28" s="21">
        <v>1250</v>
      </c>
      <c r="L28" s="75">
        <v>1250</v>
      </c>
      <c r="M28" s="21">
        <v>1250</v>
      </c>
      <c r="N28" s="21">
        <v>1250</v>
      </c>
      <c r="O28" s="21">
        <v>1250</v>
      </c>
      <c r="P28" s="21">
        <v>1250</v>
      </c>
      <c r="Q28" s="22">
        <v>1250</v>
      </c>
      <c r="R28" s="26">
        <f t="shared" si="2"/>
        <v>16250</v>
      </c>
    </row>
    <row r="29" spans="2:19" x14ac:dyDescent="0.3">
      <c r="B29" t="s">
        <v>10</v>
      </c>
      <c r="D29" s="14"/>
      <c r="E29" s="21">
        <v>1934.6153846153845</v>
      </c>
      <c r="F29" s="21">
        <v>1934.6153846153845</v>
      </c>
      <c r="G29" s="21">
        <v>1934.6153846153845</v>
      </c>
      <c r="H29" s="21">
        <v>1934.6153846153845</v>
      </c>
      <c r="I29" s="21">
        <v>1934.6153846153845</v>
      </c>
      <c r="J29" s="21">
        <v>1934.6153846153845</v>
      </c>
      <c r="K29" s="21">
        <v>1934.6153846153845</v>
      </c>
      <c r="L29" s="75">
        <v>1934.6153846153845</v>
      </c>
      <c r="M29" s="21">
        <v>1934.6153846153845</v>
      </c>
      <c r="N29" s="21">
        <v>1934.6153846153845</v>
      </c>
      <c r="O29" s="21">
        <v>1934.6153846153845</v>
      </c>
      <c r="P29" s="21">
        <v>1934.6153846153845</v>
      </c>
      <c r="Q29" s="22">
        <v>1934.6153846153845</v>
      </c>
      <c r="R29" s="26">
        <f t="shared" si="2"/>
        <v>25149.999999999993</v>
      </c>
    </row>
    <row r="30" spans="2:19" x14ac:dyDescent="0.3">
      <c r="B30" t="s">
        <v>11</v>
      </c>
      <c r="D30" s="14"/>
      <c r="E30" s="21">
        <v>900</v>
      </c>
      <c r="F30" s="21">
        <v>900</v>
      </c>
      <c r="G30" s="21">
        <v>900</v>
      </c>
      <c r="H30" s="21">
        <v>900</v>
      </c>
      <c r="I30" s="21">
        <v>900</v>
      </c>
      <c r="J30" s="21">
        <v>900</v>
      </c>
      <c r="K30" s="21">
        <v>900</v>
      </c>
      <c r="L30" s="75">
        <v>900</v>
      </c>
      <c r="M30" s="21">
        <v>900</v>
      </c>
      <c r="N30" s="21">
        <v>900</v>
      </c>
      <c r="O30" s="21">
        <v>900</v>
      </c>
      <c r="P30" s="21">
        <v>900</v>
      </c>
      <c r="Q30" s="22">
        <v>900</v>
      </c>
      <c r="R30" s="26">
        <f t="shared" si="2"/>
        <v>11700</v>
      </c>
    </row>
    <row r="31" spans="2:19" x14ac:dyDescent="0.3">
      <c r="B31" t="s">
        <v>12</v>
      </c>
      <c r="D31" s="14"/>
      <c r="E31" s="21">
        <v>11000</v>
      </c>
      <c r="F31" s="21"/>
      <c r="G31" s="21"/>
      <c r="H31" s="21"/>
      <c r="I31" s="21"/>
      <c r="J31" s="21"/>
      <c r="K31" s="21"/>
      <c r="L31" s="75"/>
      <c r="M31" s="21"/>
      <c r="N31" s="21"/>
      <c r="O31" s="21"/>
      <c r="P31" s="21"/>
      <c r="Q31" s="22"/>
      <c r="R31" s="26">
        <f t="shared" si="2"/>
        <v>11000</v>
      </c>
    </row>
    <row r="32" spans="2:19" x14ac:dyDescent="0.3">
      <c r="B32" t="s">
        <v>13</v>
      </c>
      <c r="D32" s="14"/>
      <c r="E32" s="21">
        <v>469</v>
      </c>
      <c r="F32" s="21"/>
      <c r="G32" s="21"/>
      <c r="H32" s="21"/>
      <c r="I32" s="21"/>
      <c r="J32" s="21"/>
      <c r="K32" s="21"/>
      <c r="L32" s="75"/>
      <c r="M32" s="21"/>
      <c r="N32" s="21"/>
      <c r="O32" s="21"/>
      <c r="P32" s="21"/>
      <c r="Q32" s="22"/>
      <c r="R32" s="26">
        <f t="shared" si="2"/>
        <v>469</v>
      </c>
    </row>
    <row r="33" spans="2:19" x14ac:dyDescent="0.3">
      <c r="B33" t="s">
        <v>14</v>
      </c>
      <c r="D33" s="14"/>
      <c r="E33" s="21">
        <v>430</v>
      </c>
      <c r="F33" s="21"/>
      <c r="G33" s="21"/>
      <c r="H33" s="21"/>
      <c r="I33" s="21"/>
      <c r="J33" s="21"/>
      <c r="K33" s="21"/>
      <c r="L33" s="75"/>
      <c r="M33" s="21"/>
      <c r="N33" s="21"/>
      <c r="O33" s="21"/>
      <c r="P33" s="21"/>
      <c r="Q33" s="22"/>
      <c r="R33" s="26">
        <f t="shared" si="2"/>
        <v>430</v>
      </c>
    </row>
    <row r="34" spans="2:19" x14ac:dyDescent="0.3">
      <c r="B34" t="s">
        <v>15</v>
      </c>
      <c r="D34" s="14"/>
      <c r="E34" s="21">
        <v>618</v>
      </c>
      <c r="F34" s="21"/>
      <c r="G34" s="21"/>
      <c r="H34" s="21"/>
      <c r="I34" s="21"/>
      <c r="J34" s="21"/>
      <c r="K34" s="21"/>
      <c r="L34" s="75"/>
      <c r="M34" s="21"/>
      <c r="N34" s="21"/>
      <c r="O34" s="21"/>
      <c r="P34" s="21"/>
      <c r="Q34" s="22"/>
      <c r="R34" s="26">
        <f t="shared" si="2"/>
        <v>618</v>
      </c>
    </row>
    <row r="35" spans="2:19" x14ac:dyDescent="0.3">
      <c r="B35" t="s">
        <v>16</v>
      </c>
      <c r="D35" s="14"/>
      <c r="E35" s="21">
        <v>500</v>
      </c>
      <c r="F35" s="21"/>
      <c r="G35" s="21"/>
      <c r="H35" s="21"/>
      <c r="I35" s="21"/>
      <c r="J35" s="21"/>
      <c r="K35" s="21"/>
      <c r="L35" s="75"/>
      <c r="M35" s="21"/>
      <c r="N35" s="21"/>
      <c r="O35" s="21"/>
      <c r="P35" s="21"/>
      <c r="Q35" s="22"/>
      <c r="R35" s="26">
        <f t="shared" si="2"/>
        <v>500</v>
      </c>
    </row>
    <row r="36" spans="2:19" x14ac:dyDescent="0.3">
      <c r="B36" t="s">
        <v>5</v>
      </c>
      <c r="D36" s="14"/>
      <c r="E36" s="21">
        <v>1800</v>
      </c>
      <c r="F36" s="21">
        <v>1800</v>
      </c>
      <c r="G36" s="21">
        <v>1800</v>
      </c>
      <c r="H36" s="21">
        <v>1800</v>
      </c>
      <c r="I36" s="21">
        <v>1800</v>
      </c>
      <c r="J36" s="21">
        <v>1800</v>
      </c>
      <c r="K36" s="21">
        <v>1800</v>
      </c>
      <c r="L36" s="75">
        <v>1800</v>
      </c>
      <c r="M36" s="21">
        <v>1800</v>
      </c>
      <c r="N36" s="21">
        <v>1800</v>
      </c>
      <c r="O36" s="21">
        <v>1800</v>
      </c>
      <c r="P36" s="21">
        <v>1800</v>
      </c>
      <c r="Q36" s="22">
        <v>1800</v>
      </c>
      <c r="R36" s="26">
        <f t="shared" si="2"/>
        <v>23400</v>
      </c>
    </row>
    <row r="37" spans="2:19" x14ac:dyDescent="0.3">
      <c r="D37" s="14"/>
      <c r="E37" s="14"/>
      <c r="F37" s="14"/>
      <c r="G37" s="14"/>
      <c r="H37" s="14"/>
      <c r="I37" s="14"/>
      <c r="J37" s="14"/>
      <c r="K37" s="14"/>
      <c r="L37" s="72"/>
      <c r="M37" s="14"/>
      <c r="N37" s="14"/>
      <c r="O37" s="14"/>
      <c r="P37" s="14"/>
      <c r="Q37" s="18"/>
      <c r="R37" s="26"/>
    </row>
    <row r="38" spans="2:19" x14ac:dyDescent="0.3">
      <c r="B38" s="5" t="s">
        <v>76</v>
      </c>
      <c r="D38" s="14"/>
      <c r="E38" s="23">
        <f t="shared" ref="E38:Q38" si="8">5%*(E23+E15)</f>
        <v>5840.830769230769</v>
      </c>
      <c r="F38" s="23">
        <f t="shared" si="8"/>
        <v>6102.4807692307695</v>
      </c>
      <c r="G38" s="23">
        <f t="shared" si="8"/>
        <v>6102.4807692307695</v>
      </c>
      <c r="H38" s="23">
        <f t="shared" si="8"/>
        <v>6102.4807692307695</v>
      </c>
      <c r="I38" s="23">
        <f t="shared" si="8"/>
        <v>6102.4807692307695</v>
      </c>
      <c r="J38" s="23">
        <f t="shared" si="8"/>
        <v>6102.4807692307695</v>
      </c>
      <c r="K38" s="23">
        <f t="shared" si="8"/>
        <v>6102.4807692307695</v>
      </c>
      <c r="L38" s="76">
        <f t="shared" si="8"/>
        <v>6102.4807692307695</v>
      </c>
      <c r="M38" s="23">
        <f t="shared" si="8"/>
        <v>6102.4807692307695</v>
      </c>
      <c r="N38" s="23">
        <f t="shared" si="8"/>
        <v>6102.4807692307695</v>
      </c>
      <c r="O38" s="23">
        <f t="shared" si="8"/>
        <v>6102.4807692307695</v>
      </c>
      <c r="P38" s="23">
        <f t="shared" si="8"/>
        <v>6102.4807692307695</v>
      </c>
      <c r="Q38" s="24">
        <f t="shared" si="8"/>
        <v>6102.4807692307695</v>
      </c>
      <c r="R38" s="41">
        <f t="shared" si="2"/>
        <v>79070.599999999977</v>
      </c>
      <c r="S38" s="8">
        <f>+R38+R41+R50</f>
        <v>109306.62106918404</v>
      </c>
    </row>
    <row r="39" spans="2:19" x14ac:dyDescent="0.3">
      <c r="D39" s="14"/>
      <c r="E39" s="14"/>
      <c r="F39" s="14"/>
      <c r="G39" s="14"/>
      <c r="H39" s="14"/>
      <c r="I39" s="14"/>
      <c r="J39" s="14"/>
      <c r="K39" s="14"/>
      <c r="L39" s="72"/>
      <c r="M39" s="14"/>
      <c r="N39" s="14"/>
      <c r="O39" s="14"/>
      <c r="P39" s="14"/>
      <c r="Q39" s="18"/>
      <c r="R39" s="26"/>
    </row>
    <row r="40" spans="2:19" x14ac:dyDescent="0.3">
      <c r="B40" s="11"/>
      <c r="D40" s="14"/>
      <c r="E40" s="21"/>
      <c r="F40" s="21"/>
      <c r="G40" s="21"/>
      <c r="H40" s="21"/>
      <c r="I40" s="21"/>
      <c r="J40" s="21"/>
      <c r="K40" s="21"/>
      <c r="L40" s="75"/>
      <c r="M40" s="21"/>
      <c r="N40" s="21"/>
      <c r="O40" s="21"/>
      <c r="P40" s="21"/>
      <c r="Q40" s="22"/>
      <c r="R40" s="26"/>
    </row>
    <row r="41" spans="2:19" x14ac:dyDescent="0.3">
      <c r="B41" s="11" t="s">
        <v>34</v>
      </c>
      <c r="D41" s="14"/>
      <c r="E41" s="21">
        <f>+Datos!D5</f>
        <v>4802.6877358507372</v>
      </c>
      <c r="F41" s="21"/>
      <c r="G41" s="21"/>
      <c r="H41" s="21"/>
      <c r="I41" s="21"/>
      <c r="J41" s="21"/>
      <c r="K41" s="21"/>
      <c r="L41" s="75"/>
      <c r="M41" s="21"/>
      <c r="N41" s="21"/>
      <c r="O41" s="21"/>
      <c r="P41" s="21"/>
      <c r="Q41" s="22"/>
      <c r="R41" s="26">
        <f t="shared" si="2"/>
        <v>4802.6877358507372</v>
      </c>
    </row>
    <row r="42" spans="2:19" x14ac:dyDescent="0.3">
      <c r="B42" s="4" t="s">
        <v>51</v>
      </c>
      <c r="D42" s="14"/>
      <c r="E42" s="21">
        <v>166.66666666666666</v>
      </c>
      <c r="F42" s="21">
        <v>166.66666666666666</v>
      </c>
      <c r="G42" s="21">
        <v>166.66666666666666</v>
      </c>
      <c r="H42" s="21">
        <v>166.66666666666666</v>
      </c>
      <c r="I42" s="21">
        <v>166.66666666666666</v>
      </c>
      <c r="J42" s="21">
        <v>166.66666666666666</v>
      </c>
      <c r="K42" s="21">
        <v>166.66666666666666</v>
      </c>
      <c r="L42" s="75">
        <v>166.66666666666666</v>
      </c>
      <c r="M42" s="21">
        <v>166.66666666666666</v>
      </c>
      <c r="N42" s="21">
        <v>166.66666666666666</v>
      </c>
      <c r="O42" s="21">
        <v>166.66666666666666</v>
      </c>
      <c r="P42" s="21">
        <v>166.66666666666666</v>
      </c>
      <c r="Q42" s="22">
        <v>166.66666666666666</v>
      </c>
      <c r="R42" s="26">
        <f t="shared" si="2"/>
        <v>2166.666666666667</v>
      </c>
    </row>
    <row r="43" spans="2:19" x14ac:dyDescent="0.3">
      <c r="B43" s="4" t="s">
        <v>52</v>
      </c>
      <c r="D43" s="14"/>
      <c r="E43" s="16">
        <f>60*13</f>
        <v>780</v>
      </c>
      <c r="F43" s="21">
        <f t="shared" ref="F43:Q43" si="9">60*13</f>
        <v>780</v>
      </c>
      <c r="G43" s="21">
        <f t="shared" si="9"/>
        <v>780</v>
      </c>
      <c r="H43" s="21">
        <f t="shared" si="9"/>
        <v>780</v>
      </c>
      <c r="I43" s="21">
        <f t="shared" si="9"/>
        <v>780</v>
      </c>
      <c r="J43" s="21">
        <f t="shared" si="9"/>
        <v>780</v>
      </c>
      <c r="K43" s="21">
        <f t="shared" si="9"/>
        <v>780</v>
      </c>
      <c r="L43" s="75">
        <f t="shared" si="9"/>
        <v>780</v>
      </c>
      <c r="M43" s="21">
        <f t="shared" si="9"/>
        <v>780</v>
      </c>
      <c r="N43" s="21">
        <f t="shared" si="9"/>
        <v>780</v>
      </c>
      <c r="O43" s="21">
        <f t="shared" si="9"/>
        <v>780</v>
      </c>
      <c r="P43" s="21">
        <f t="shared" si="9"/>
        <v>780</v>
      </c>
      <c r="Q43" s="22">
        <f t="shared" si="9"/>
        <v>780</v>
      </c>
      <c r="R43" s="26">
        <f t="shared" si="2"/>
        <v>10140</v>
      </c>
    </row>
    <row r="44" spans="2:19" x14ac:dyDescent="0.3">
      <c r="B44" s="4"/>
      <c r="D44" s="14"/>
      <c r="E44" s="16"/>
      <c r="F44" s="21"/>
      <c r="G44" s="21"/>
      <c r="H44" s="21"/>
      <c r="I44" s="21"/>
      <c r="J44" s="21"/>
      <c r="K44" s="21"/>
      <c r="L44" s="75"/>
      <c r="M44" s="21"/>
      <c r="N44" s="21"/>
      <c r="O44" s="21"/>
      <c r="P44" s="21"/>
      <c r="Q44" s="22"/>
      <c r="R44" s="26"/>
    </row>
    <row r="45" spans="2:19" x14ac:dyDescent="0.3">
      <c r="B45" s="4" t="s">
        <v>64</v>
      </c>
      <c r="D45" s="14"/>
      <c r="E45" s="21">
        <f>+(+E16+E23+SUM(E41:E43))*0.18</f>
        <v>18776.874561683901</v>
      </c>
      <c r="F45" s="21">
        <f t="shared" ref="F45:Q45" si="10">+(+F16+F23+SUM(F41:F43))*0.18</f>
        <v>15569.330769230768</v>
      </c>
      <c r="G45" s="21">
        <f t="shared" si="10"/>
        <v>15569.330769230768</v>
      </c>
      <c r="H45" s="21">
        <f t="shared" si="10"/>
        <v>15569.330769230768</v>
      </c>
      <c r="I45" s="21">
        <f t="shared" si="10"/>
        <v>15569.330769230768</v>
      </c>
      <c r="J45" s="21">
        <f t="shared" si="10"/>
        <v>15569.330769230768</v>
      </c>
      <c r="K45" s="21">
        <f t="shared" si="10"/>
        <v>15569.330769230768</v>
      </c>
      <c r="L45" s="75">
        <f t="shared" si="10"/>
        <v>15569.330769230768</v>
      </c>
      <c r="M45" s="21">
        <f t="shared" si="10"/>
        <v>15569.330769230768</v>
      </c>
      <c r="N45" s="21">
        <f t="shared" si="10"/>
        <v>15569.330769230768</v>
      </c>
      <c r="O45" s="21">
        <f t="shared" si="10"/>
        <v>15569.330769230768</v>
      </c>
      <c r="P45" s="21">
        <f t="shared" si="10"/>
        <v>15569.330769230768</v>
      </c>
      <c r="Q45" s="22">
        <f t="shared" si="10"/>
        <v>15569.330769230768</v>
      </c>
      <c r="R45" s="26">
        <f>+SUM(E45:Q45)</f>
        <v>205608.84379245309</v>
      </c>
      <c r="S45" s="8">
        <f>+R45+R46</f>
        <v>343375.04781644873</v>
      </c>
    </row>
    <row r="46" spans="2:19" x14ac:dyDescent="0.3">
      <c r="B46" s="11" t="s">
        <v>35</v>
      </c>
      <c r="D46" s="14"/>
      <c r="E46" s="21">
        <f>+IF(E60&gt;0,E60,0)</f>
        <v>0</v>
      </c>
      <c r="F46" s="21">
        <f t="shared" ref="F46:Q46" si="11">+IF(F60&gt;0,F60,0)</f>
        <v>0</v>
      </c>
      <c r="G46" s="21">
        <f t="shared" si="11"/>
        <v>0</v>
      </c>
      <c r="H46" s="21">
        <f t="shared" si="11"/>
        <v>0</v>
      </c>
      <c r="I46" s="21">
        <f t="shared" si="11"/>
        <v>0</v>
      </c>
      <c r="J46" s="21">
        <f t="shared" si="11"/>
        <v>6388.9859370968879</v>
      </c>
      <c r="K46" s="21">
        <f t="shared" si="11"/>
        <v>18768.174012414111</v>
      </c>
      <c r="L46" s="75">
        <f t="shared" si="11"/>
        <v>18768.174012414111</v>
      </c>
      <c r="M46" s="21">
        <f t="shared" si="11"/>
        <v>18768.174012414111</v>
      </c>
      <c r="N46" s="21">
        <f t="shared" si="11"/>
        <v>18768.174012414111</v>
      </c>
      <c r="O46" s="21">
        <f t="shared" si="11"/>
        <v>18768.174012414111</v>
      </c>
      <c r="P46" s="21">
        <f t="shared" si="11"/>
        <v>18768.174012414111</v>
      </c>
      <c r="Q46" s="22">
        <f t="shared" si="11"/>
        <v>18768.174012414111</v>
      </c>
      <c r="R46" s="26">
        <f>+SUM(E46:Q46)</f>
        <v>137766.20402399564</v>
      </c>
    </row>
    <row r="47" spans="2:19" x14ac:dyDescent="0.3">
      <c r="B47" s="12" t="s">
        <v>36</v>
      </c>
      <c r="D47" s="14"/>
      <c r="E47" s="21">
        <f t="shared" ref="E47:Q47" si="12">+IF(E67&gt;0,E67,0)</f>
        <v>0</v>
      </c>
      <c r="F47" s="21">
        <f t="shared" si="12"/>
        <v>0</v>
      </c>
      <c r="G47" s="21">
        <f t="shared" si="12"/>
        <v>0</v>
      </c>
      <c r="H47" s="21">
        <f t="shared" si="12"/>
        <v>0</v>
      </c>
      <c r="I47" s="21">
        <f t="shared" si="12"/>
        <v>0</v>
      </c>
      <c r="J47" s="21">
        <f t="shared" si="12"/>
        <v>0</v>
      </c>
      <c r="K47" s="21">
        <f t="shared" si="12"/>
        <v>0</v>
      </c>
      <c r="L47" s="75">
        <f t="shared" si="12"/>
        <v>0</v>
      </c>
      <c r="M47" s="21">
        <f t="shared" si="12"/>
        <v>0</v>
      </c>
      <c r="N47" s="21">
        <f t="shared" si="12"/>
        <v>13515.522670229919</v>
      </c>
      <c r="O47" s="21">
        <f t="shared" si="12"/>
        <v>18499.54578992095</v>
      </c>
      <c r="P47" s="21">
        <f t="shared" si="12"/>
        <v>18499.54578992095</v>
      </c>
      <c r="Q47" s="22">
        <f t="shared" si="12"/>
        <v>18499.54578992095</v>
      </c>
      <c r="R47" s="26">
        <f>+SUM(E47:Q47)</f>
        <v>69014.16003999277</v>
      </c>
      <c r="S47" s="9"/>
    </row>
    <row r="48" spans="2:19" x14ac:dyDescent="0.3">
      <c r="L48" s="72"/>
      <c r="M48" s="14"/>
      <c r="N48" s="14"/>
      <c r="O48" s="14"/>
      <c r="P48" s="14"/>
      <c r="Q48" s="18"/>
      <c r="R48" s="27"/>
    </row>
    <row r="49" spans="1:19" x14ac:dyDescent="0.3">
      <c r="B49" s="10" t="s">
        <v>77</v>
      </c>
      <c r="D49" s="80">
        <v>460000</v>
      </c>
      <c r="E49" s="2"/>
      <c r="F49" s="2"/>
      <c r="G49" s="2"/>
      <c r="H49" s="2"/>
      <c r="I49" s="2"/>
      <c r="J49" s="80">
        <v>230000</v>
      </c>
      <c r="K49" s="2"/>
      <c r="L49" s="75"/>
      <c r="M49" s="95">
        <v>55000</v>
      </c>
      <c r="N49" s="21"/>
      <c r="O49" s="21"/>
      <c r="P49" s="21"/>
      <c r="Q49" s="22"/>
      <c r="R49" s="26">
        <f>+SUM(D49:Q49)</f>
        <v>745000</v>
      </c>
    </row>
    <row r="50" spans="1:19" x14ac:dyDescent="0.3">
      <c r="B50" s="10" t="s">
        <v>49</v>
      </c>
      <c r="E50" s="2">
        <f>+E74</f>
        <v>3220.0000000000005</v>
      </c>
      <c r="F50" s="2">
        <f t="shared" ref="F50:H50" si="13">+F74</f>
        <v>3220.0000000000005</v>
      </c>
      <c r="G50" s="2">
        <f t="shared" si="13"/>
        <v>3220.0000000000005</v>
      </c>
      <c r="H50" s="2">
        <f t="shared" si="13"/>
        <v>3220.0000000000005</v>
      </c>
      <c r="I50" s="2">
        <f>+I74+I75</f>
        <v>3220.0000000000005</v>
      </c>
      <c r="J50" s="2">
        <f>+J74+J75</f>
        <v>0</v>
      </c>
      <c r="K50" s="2">
        <f t="shared" ref="K50:Q50" si="14">+K74+K75</f>
        <v>2683.3333333333335</v>
      </c>
      <c r="L50" s="75">
        <f t="shared" si="14"/>
        <v>2683.3333333333335</v>
      </c>
      <c r="M50" s="21">
        <f>+M74+M75+M76</f>
        <v>3111.1111111111113</v>
      </c>
      <c r="N50" s="21">
        <f>+N74+N75+N76</f>
        <v>427.77777777777783</v>
      </c>
      <c r="O50" s="21">
        <f>+O74+O75+O76</f>
        <v>427.77777777777783</v>
      </c>
      <c r="P50" s="21">
        <f>+P74+P75+P76</f>
        <v>0</v>
      </c>
      <c r="Q50" s="22">
        <f t="shared" si="14"/>
        <v>0</v>
      </c>
      <c r="R50" s="26">
        <f t="shared" si="2"/>
        <v>25433.333333333336</v>
      </c>
    </row>
    <row r="51" spans="1:19" x14ac:dyDescent="0.3">
      <c r="B51" s="10" t="s">
        <v>50</v>
      </c>
      <c r="E51" s="2"/>
      <c r="F51" s="2"/>
      <c r="G51" s="2"/>
      <c r="H51" s="2"/>
      <c r="I51" s="2"/>
      <c r="J51" s="2">
        <f>-D49</f>
        <v>-460000</v>
      </c>
      <c r="K51" s="2">
        <f>-I49</f>
        <v>0</v>
      </c>
      <c r="L51" s="75"/>
      <c r="M51" s="21">
        <f>-J49</f>
        <v>-230000</v>
      </c>
      <c r="N51" s="21"/>
      <c r="O51" s="21">
        <f>-M49</f>
        <v>-55000</v>
      </c>
      <c r="P51" s="21"/>
      <c r="Q51" s="22">
        <v>0</v>
      </c>
      <c r="R51" s="26">
        <f>+SUM(E51:Q51)</f>
        <v>-745000</v>
      </c>
    </row>
    <row r="52" spans="1:19" x14ac:dyDescent="0.3">
      <c r="L52" s="77"/>
      <c r="M52" s="69"/>
      <c r="N52" s="69"/>
      <c r="O52" s="69"/>
      <c r="P52" s="69"/>
      <c r="Q52" s="70"/>
      <c r="R52" s="78"/>
    </row>
    <row r="53" spans="1:19" ht="15.6" x14ac:dyDescent="0.3">
      <c r="B53" s="56" t="s">
        <v>59</v>
      </c>
      <c r="D53" s="8">
        <f>+D49</f>
        <v>460000</v>
      </c>
      <c r="E53" s="62">
        <f t="shared" ref="E53:Q53" si="15">+E10-E14+E49-E50+D53+E51</f>
        <v>309596.32488195255</v>
      </c>
      <c r="F53" s="63">
        <f t="shared" si="15"/>
        <v>161708.23129220898</v>
      </c>
      <c r="G53" s="63">
        <f t="shared" si="15"/>
        <v>13820.137702465407</v>
      </c>
      <c r="H53" s="63">
        <f t="shared" si="15"/>
        <v>91033.464347949368</v>
      </c>
      <c r="I53" s="63">
        <f t="shared" si="15"/>
        <v>168246.79099343333</v>
      </c>
      <c r="J53" s="63">
        <f t="shared" si="15"/>
        <v>12291.131701820414</v>
      </c>
      <c r="K53" s="63">
        <f t="shared" si="15"/>
        <v>71272.95100155691</v>
      </c>
      <c r="L53" s="63">
        <f t="shared" si="15"/>
        <v>130254.77030129341</v>
      </c>
      <c r="M53" s="63">
        <f t="shared" si="15"/>
        <v>13808.811823252123</v>
      </c>
      <c r="N53" s="63">
        <f t="shared" si="15"/>
        <v>61530.664008314256</v>
      </c>
      <c r="O53" s="63">
        <f t="shared" si="15"/>
        <v>49268.493073685357</v>
      </c>
      <c r="P53" s="63">
        <f t="shared" si="15"/>
        <v>92434.099916834239</v>
      </c>
      <c r="Q53" s="63">
        <f t="shared" si="15"/>
        <v>135599.70675998312</v>
      </c>
      <c r="R53" s="79">
        <f>+R10-R14-R50</f>
        <v>135599.70675998289</v>
      </c>
      <c r="S53" s="8"/>
    </row>
    <row r="54" spans="1:19" ht="15.6" x14ac:dyDescent="0.3">
      <c r="B54" s="56" t="s">
        <v>60</v>
      </c>
      <c r="F54" s="57"/>
      <c r="R54" s="58">
        <f>+R53/R10</f>
        <v>6.0239383038224854E-2</v>
      </c>
      <c r="S54" s="8"/>
    </row>
    <row r="55" spans="1:19" ht="15.6" x14ac:dyDescent="0.3">
      <c r="B55" s="56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58"/>
    </row>
    <row r="56" spans="1:19" x14ac:dyDescent="0.3">
      <c r="A56" s="42" t="s">
        <v>53</v>
      </c>
      <c r="R56" s="94"/>
    </row>
    <row r="57" spans="1:19" outlineLevel="1" x14ac:dyDescent="0.3">
      <c r="D57" s="134">
        <v>2022</v>
      </c>
      <c r="E57" s="135"/>
      <c r="F57" s="135"/>
      <c r="G57" s="135"/>
      <c r="H57" s="135"/>
      <c r="I57" s="135"/>
      <c r="J57" s="135"/>
      <c r="K57" s="136"/>
      <c r="L57" s="135">
        <v>2023</v>
      </c>
      <c r="M57" s="135"/>
      <c r="N57" s="135"/>
      <c r="O57" s="135"/>
      <c r="P57" s="135"/>
      <c r="Q57" s="135"/>
      <c r="R57" s="137" t="s">
        <v>45</v>
      </c>
    </row>
    <row r="58" spans="1:19" outlineLevel="1" x14ac:dyDescent="0.3">
      <c r="D58" s="6" t="s">
        <v>29</v>
      </c>
      <c r="E58" s="6" t="s">
        <v>18</v>
      </c>
      <c r="F58" s="6" t="s">
        <v>19</v>
      </c>
      <c r="G58" s="6" t="s">
        <v>20</v>
      </c>
      <c r="H58" s="6" t="s">
        <v>21</v>
      </c>
      <c r="I58" s="6" t="s">
        <v>22</v>
      </c>
      <c r="J58" s="6" t="s">
        <v>23</v>
      </c>
      <c r="K58" s="6" t="s">
        <v>24</v>
      </c>
      <c r="L58" s="15" t="s">
        <v>25</v>
      </c>
      <c r="M58" s="6" t="s">
        <v>26</v>
      </c>
      <c r="N58" s="6" t="s">
        <v>27</v>
      </c>
      <c r="O58" s="6" t="s">
        <v>28</v>
      </c>
      <c r="P58" s="6" t="s">
        <v>29</v>
      </c>
      <c r="Q58" s="25" t="s">
        <v>18</v>
      </c>
      <c r="R58" s="138"/>
    </row>
    <row r="59" spans="1:19" outlineLevel="1" x14ac:dyDescent="0.3">
      <c r="B59" t="s">
        <v>54</v>
      </c>
      <c r="E59" s="48">
        <f t="shared" ref="E59:R59" si="16">+E12-E45</f>
        <v>-18776.874561683901</v>
      </c>
      <c r="F59" s="48">
        <f t="shared" si="16"/>
        <v>-15569.330769230768</v>
      </c>
      <c r="G59" s="48">
        <f t="shared" si="16"/>
        <v>-15569.330769230768</v>
      </c>
      <c r="H59" s="48">
        <f t="shared" si="16"/>
        <v>18768.174012414111</v>
      </c>
      <c r="I59" s="48">
        <f t="shared" si="16"/>
        <v>18768.174012414111</v>
      </c>
      <c r="J59" s="48">
        <f t="shared" si="16"/>
        <v>18768.174012414111</v>
      </c>
      <c r="K59" s="48">
        <f t="shared" si="16"/>
        <v>18768.174012414111</v>
      </c>
      <c r="L59" s="48">
        <f t="shared" si="16"/>
        <v>18768.174012414111</v>
      </c>
      <c r="M59" s="48">
        <f t="shared" si="16"/>
        <v>18768.174012414111</v>
      </c>
      <c r="N59" s="48">
        <f t="shared" si="16"/>
        <v>18768.174012414111</v>
      </c>
      <c r="O59" s="48">
        <f t="shared" si="16"/>
        <v>18768.174012414111</v>
      </c>
      <c r="P59" s="48">
        <f t="shared" si="16"/>
        <v>18768.174012414111</v>
      </c>
      <c r="Q59" s="48">
        <f t="shared" si="16"/>
        <v>18768.174012414111</v>
      </c>
      <c r="R59" s="48">
        <f t="shared" si="16"/>
        <v>137766.20402399576</v>
      </c>
    </row>
    <row r="60" spans="1:19" outlineLevel="1" x14ac:dyDescent="0.3">
      <c r="E60" s="50">
        <f>+E59</f>
        <v>-18776.874561683901</v>
      </c>
      <c r="F60" s="50">
        <f t="shared" ref="F60:Q60" si="17">+IF((E60)&lt;0,(E60+F59),F59)</f>
        <v>-34346.205330914672</v>
      </c>
      <c r="G60" s="50">
        <f t="shared" si="17"/>
        <v>-49915.536100145444</v>
      </c>
      <c r="H60" s="50">
        <f t="shared" si="17"/>
        <v>-31147.362087731333</v>
      </c>
      <c r="I60" s="50">
        <f t="shared" si="17"/>
        <v>-12379.188075317223</v>
      </c>
      <c r="J60" s="50">
        <f t="shared" si="17"/>
        <v>6388.9859370968879</v>
      </c>
      <c r="K60" s="50">
        <f t="shared" si="17"/>
        <v>18768.174012414111</v>
      </c>
      <c r="L60" s="50">
        <f t="shared" si="17"/>
        <v>18768.174012414111</v>
      </c>
      <c r="M60" s="50">
        <f t="shared" si="17"/>
        <v>18768.174012414111</v>
      </c>
      <c r="N60" s="50">
        <f t="shared" si="17"/>
        <v>18768.174012414111</v>
      </c>
      <c r="O60" s="50">
        <f t="shared" si="17"/>
        <v>18768.174012414111</v>
      </c>
      <c r="P60" s="50">
        <f t="shared" si="17"/>
        <v>18768.174012414111</v>
      </c>
      <c r="Q60" s="50">
        <f t="shared" si="17"/>
        <v>18768.174012414111</v>
      </c>
      <c r="R60" s="47"/>
    </row>
    <row r="62" spans="1:19" x14ac:dyDescent="0.3">
      <c r="A62" s="42" t="s">
        <v>55</v>
      </c>
    </row>
    <row r="63" spans="1:19" hidden="1" outlineLevel="1" x14ac:dyDescent="0.3">
      <c r="B63" s="47" t="s">
        <v>32</v>
      </c>
      <c r="C63" s="47"/>
      <c r="D63" s="47"/>
      <c r="E63" s="60">
        <f t="shared" ref="E63:R63" si="18">+E11</f>
        <v>0</v>
      </c>
      <c r="F63" s="60">
        <f t="shared" si="18"/>
        <v>0</v>
      </c>
      <c r="G63" s="60">
        <f t="shared" si="18"/>
        <v>0</v>
      </c>
      <c r="H63" s="60">
        <f t="shared" si="18"/>
        <v>190763.91545358265</v>
      </c>
      <c r="I63" s="60">
        <f t="shared" si="18"/>
        <v>190763.91545358265</v>
      </c>
      <c r="J63" s="60">
        <f t="shared" si="18"/>
        <v>190763.91545358265</v>
      </c>
      <c r="K63" s="60">
        <f t="shared" si="18"/>
        <v>190763.91545358265</v>
      </c>
      <c r="L63" s="60">
        <f t="shared" si="18"/>
        <v>190763.91545358265</v>
      </c>
      <c r="M63" s="60">
        <f t="shared" si="18"/>
        <v>190763.91545358265</v>
      </c>
      <c r="N63" s="60">
        <f t="shared" si="18"/>
        <v>190763.91545358265</v>
      </c>
      <c r="O63" s="60">
        <f t="shared" si="18"/>
        <v>190763.91545358265</v>
      </c>
      <c r="P63" s="60">
        <f t="shared" si="18"/>
        <v>190763.91545358265</v>
      </c>
      <c r="Q63" s="60">
        <f t="shared" si="18"/>
        <v>190763.91545358265</v>
      </c>
      <c r="R63" s="60">
        <f t="shared" si="18"/>
        <v>1907639.1545358263</v>
      </c>
    </row>
    <row r="64" spans="1:19" hidden="1" outlineLevel="1" x14ac:dyDescent="0.3">
      <c r="B64" s="47" t="s">
        <v>44</v>
      </c>
      <c r="C64" s="47"/>
      <c r="D64" s="47"/>
      <c r="E64" s="60">
        <f t="shared" ref="E64:R64" si="19">+E15+E23+E38+E40+E41+E42+E43</f>
        <v>128406.80055636355</v>
      </c>
      <c r="F64" s="60">
        <f t="shared" si="19"/>
        <v>129098.76282051281</v>
      </c>
      <c r="G64" s="60">
        <f t="shared" si="19"/>
        <v>129098.76282051281</v>
      </c>
      <c r="H64" s="60">
        <f t="shared" si="19"/>
        <v>129098.76282051281</v>
      </c>
      <c r="I64" s="60">
        <f t="shared" si="19"/>
        <v>129098.76282051281</v>
      </c>
      <c r="J64" s="60">
        <f t="shared" si="19"/>
        <v>129098.76282051281</v>
      </c>
      <c r="K64" s="60">
        <f t="shared" si="19"/>
        <v>129098.76282051281</v>
      </c>
      <c r="L64" s="60">
        <f t="shared" si="19"/>
        <v>129098.76282051281</v>
      </c>
      <c r="M64" s="60">
        <f t="shared" si="19"/>
        <v>129098.76282051281</v>
      </c>
      <c r="N64" s="60">
        <f t="shared" si="19"/>
        <v>129098.76282051281</v>
      </c>
      <c r="O64" s="60">
        <f t="shared" si="19"/>
        <v>129098.76282051281</v>
      </c>
      <c r="P64" s="60">
        <f t="shared" si="19"/>
        <v>129098.76282051281</v>
      </c>
      <c r="Q64" s="60">
        <f t="shared" si="19"/>
        <v>129098.76282051281</v>
      </c>
      <c r="R64" s="60">
        <f t="shared" si="19"/>
        <v>1677591.9544025175</v>
      </c>
    </row>
    <row r="65" spans="1:18" hidden="1" outlineLevel="1" x14ac:dyDescent="0.3">
      <c r="B65" s="3" t="s">
        <v>63</v>
      </c>
      <c r="C65" s="47"/>
      <c r="D65" s="47"/>
      <c r="E65" s="60">
        <f>+E63-E64</f>
        <v>-128406.80055636355</v>
      </c>
      <c r="F65" s="60">
        <f>+F63-F64</f>
        <v>-129098.76282051281</v>
      </c>
      <c r="G65" s="60">
        <f t="shared" ref="G65:Q65" si="20">+G63-G64</f>
        <v>-129098.76282051281</v>
      </c>
      <c r="H65" s="60">
        <f>+H63-H64</f>
        <v>61665.15263306984</v>
      </c>
      <c r="I65" s="60">
        <f t="shared" si="20"/>
        <v>61665.15263306984</v>
      </c>
      <c r="J65" s="60">
        <f t="shared" si="20"/>
        <v>61665.15263306984</v>
      </c>
      <c r="K65" s="60">
        <f t="shared" si="20"/>
        <v>61665.15263306984</v>
      </c>
      <c r="L65" s="60">
        <f t="shared" si="20"/>
        <v>61665.15263306984</v>
      </c>
      <c r="M65" s="60">
        <f t="shared" si="20"/>
        <v>61665.15263306984</v>
      </c>
      <c r="N65" s="60">
        <f t="shared" si="20"/>
        <v>61665.15263306984</v>
      </c>
      <c r="O65" s="60">
        <f t="shared" si="20"/>
        <v>61665.15263306984</v>
      </c>
      <c r="P65" s="60">
        <f t="shared" si="20"/>
        <v>61665.15263306984</v>
      </c>
      <c r="Q65" s="60">
        <f t="shared" si="20"/>
        <v>61665.15263306984</v>
      </c>
      <c r="R65" s="60">
        <f>+R63-R64</f>
        <v>230047.20013330877</v>
      </c>
    </row>
    <row r="66" spans="1:18" hidden="1" outlineLevel="1" x14ac:dyDescent="0.3">
      <c r="B66" s="47" t="s">
        <v>36</v>
      </c>
      <c r="C66" s="47"/>
      <c r="D66" s="47"/>
      <c r="E66" s="60">
        <f>E65*30%</f>
        <v>-38522.040166909064</v>
      </c>
      <c r="F66" s="60">
        <f>F65*30%</f>
        <v>-38729.628846153842</v>
      </c>
      <c r="G66" s="60">
        <f t="shared" ref="G66:R66" si="21">G65*30%</f>
        <v>-38729.628846153842</v>
      </c>
      <c r="H66" s="60">
        <f>H65*30%</f>
        <v>18499.54578992095</v>
      </c>
      <c r="I66" s="60">
        <f t="shared" si="21"/>
        <v>18499.54578992095</v>
      </c>
      <c r="J66" s="60">
        <f t="shared" si="21"/>
        <v>18499.54578992095</v>
      </c>
      <c r="K66" s="60">
        <f t="shared" si="21"/>
        <v>18499.54578992095</v>
      </c>
      <c r="L66" s="60">
        <f t="shared" si="21"/>
        <v>18499.54578992095</v>
      </c>
      <c r="M66" s="60">
        <f t="shared" si="21"/>
        <v>18499.54578992095</v>
      </c>
      <c r="N66" s="60">
        <f t="shared" si="21"/>
        <v>18499.54578992095</v>
      </c>
      <c r="O66" s="60">
        <f t="shared" si="21"/>
        <v>18499.54578992095</v>
      </c>
      <c r="P66" s="60">
        <f t="shared" si="21"/>
        <v>18499.54578992095</v>
      </c>
      <c r="Q66" s="60">
        <f t="shared" si="21"/>
        <v>18499.54578992095</v>
      </c>
      <c r="R66" s="60">
        <f t="shared" si="21"/>
        <v>69014.160039992625</v>
      </c>
    </row>
    <row r="67" spans="1:18" hidden="1" outlineLevel="1" x14ac:dyDescent="0.3">
      <c r="B67" s="47"/>
      <c r="C67" s="47"/>
      <c r="D67" s="47"/>
      <c r="E67" s="61">
        <f>+D67+E66</f>
        <v>-38522.040166909064</v>
      </c>
      <c r="F67" s="50">
        <f t="shared" ref="F67:Q67" si="22">+IF((E67)&lt;0,(E67+F66),F66)</f>
        <v>-77251.669013062899</v>
      </c>
      <c r="G67" s="50">
        <f t="shared" si="22"/>
        <v>-115981.29785921675</v>
      </c>
      <c r="H67" s="50">
        <f t="shared" si="22"/>
        <v>-97481.752069295791</v>
      </c>
      <c r="I67" s="50">
        <f t="shared" si="22"/>
        <v>-78982.206279374834</v>
      </c>
      <c r="J67" s="50">
        <f t="shared" si="22"/>
        <v>-60482.660489453883</v>
      </c>
      <c r="K67" s="50">
        <f t="shared" si="22"/>
        <v>-41983.114699532933</v>
      </c>
      <c r="L67" s="50">
        <f t="shared" si="22"/>
        <v>-23483.568909611982</v>
      </c>
      <c r="M67" s="50">
        <f t="shared" si="22"/>
        <v>-4984.0231196910318</v>
      </c>
      <c r="N67" s="50">
        <f t="shared" si="22"/>
        <v>13515.522670229919</v>
      </c>
      <c r="O67" s="50">
        <f t="shared" si="22"/>
        <v>18499.54578992095</v>
      </c>
      <c r="P67" s="50">
        <f t="shared" si="22"/>
        <v>18499.54578992095</v>
      </c>
      <c r="Q67" s="50">
        <f t="shared" si="22"/>
        <v>18499.54578992095</v>
      </c>
      <c r="R67" s="60"/>
    </row>
    <row r="68" spans="1:18" hidden="1" outlineLevel="1" x14ac:dyDescent="0.3"/>
    <row r="69" spans="1:18" collapsed="1" x14ac:dyDescent="0.3"/>
    <row r="70" spans="1:18" x14ac:dyDescent="0.3">
      <c r="A70" s="42" t="s">
        <v>56</v>
      </c>
    </row>
    <row r="71" spans="1:18" hidden="1" outlineLevel="1" x14ac:dyDescent="0.3">
      <c r="B71" s="51" t="s">
        <v>48</v>
      </c>
      <c r="C71" s="47"/>
      <c r="D71" s="52">
        <f>+D49</f>
        <v>460000</v>
      </c>
      <c r="E71" s="52"/>
      <c r="F71" s="52">
        <f t="shared" ref="F71:Q71" si="23">+F49</f>
        <v>0</v>
      </c>
      <c r="G71" s="52">
        <f t="shared" si="23"/>
        <v>0</v>
      </c>
      <c r="H71" s="52">
        <f t="shared" si="23"/>
        <v>0</v>
      </c>
      <c r="I71" s="52">
        <f t="shared" si="23"/>
        <v>0</v>
      </c>
      <c r="J71" s="52">
        <f t="shared" si="23"/>
        <v>230000</v>
      </c>
      <c r="K71" s="52">
        <f t="shared" si="23"/>
        <v>0</v>
      </c>
      <c r="L71" s="52">
        <f t="shared" si="23"/>
        <v>0</v>
      </c>
      <c r="M71" s="52">
        <f t="shared" si="23"/>
        <v>55000</v>
      </c>
      <c r="N71" s="52">
        <f t="shared" si="23"/>
        <v>0</v>
      </c>
      <c r="O71" s="52">
        <f t="shared" si="23"/>
        <v>0</v>
      </c>
      <c r="P71" s="52">
        <f t="shared" si="23"/>
        <v>0</v>
      </c>
      <c r="Q71" s="52">
        <f t="shared" si="23"/>
        <v>0</v>
      </c>
    </row>
    <row r="72" spans="1:18" hidden="1" outlineLevel="1" x14ac:dyDescent="0.3">
      <c r="B72" s="51" t="s">
        <v>57</v>
      </c>
      <c r="C72" s="55">
        <v>7.0000000000000007E-2</v>
      </c>
      <c r="D72" s="52">
        <f>(D71*$C72/360*180)</f>
        <v>16100.000000000002</v>
      </c>
      <c r="E72" s="52">
        <f>(E71*$C72/360*180)</f>
        <v>0</v>
      </c>
      <c r="F72" s="52">
        <f t="shared" ref="F72:Q72" si="24">(F71*D72/360*360)</f>
        <v>0</v>
      </c>
      <c r="G72" s="52">
        <f t="shared" si="24"/>
        <v>0</v>
      </c>
      <c r="H72" s="52">
        <f>(H71*C72/360*9*30)</f>
        <v>0</v>
      </c>
      <c r="I72" s="52">
        <f>(I71*$C72/360*120)</f>
        <v>0</v>
      </c>
      <c r="J72" s="52">
        <f>(J71*$C72/360*180)</f>
        <v>8050.0000000000009</v>
      </c>
      <c r="K72" s="52">
        <f t="shared" si="24"/>
        <v>0</v>
      </c>
      <c r="L72" s="52">
        <f>(L71*C72/360*360)</f>
        <v>0</v>
      </c>
      <c r="M72" s="52">
        <f>(M71*$C72/360*120)</f>
        <v>1283.3333333333335</v>
      </c>
      <c r="N72" s="52">
        <f t="shared" si="24"/>
        <v>0</v>
      </c>
      <c r="O72" s="52">
        <f t="shared" si="24"/>
        <v>0</v>
      </c>
      <c r="P72" s="52">
        <f t="shared" si="24"/>
        <v>0</v>
      </c>
      <c r="Q72" s="52">
        <f t="shared" si="24"/>
        <v>0</v>
      </c>
    </row>
    <row r="73" spans="1:18" hidden="1" outlineLevel="1" x14ac:dyDescent="0.3">
      <c r="B73" s="10"/>
      <c r="C73" s="53"/>
      <c r="F73" s="54"/>
      <c r="G73" s="54"/>
      <c r="H73" s="54"/>
      <c r="I73" s="54"/>
      <c r="J73" s="54"/>
      <c r="K73" s="54"/>
    </row>
    <row r="74" spans="1:18" hidden="1" outlineLevel="1" x14ac:dyDescent="0.3">
      <c r="B74" s="10" t="s">
        <v>58</v>
      </c>
      <c r="C74" s="53"/>
      <c r="E74" s="49">
        <f>+$D$72/5</f>
        <v>3220.0000000000005</v>
      </c>
      <c r="F74" s="49">
        <f t="shared" ref="F74:I74" si="25">+$D$72/5</f>
        <v>3220.0000000000005</v>
      </c>
      <c r="G74" s="49">
        <f t="shared" si="25"/>
        <v>3220.0000000000005</v>
      </c>
      <c r="H74" s="49">
        <f t="shared" si="25"/>
        <v>3220.0000000000005</v>
      </c>
      <c r="I74" s="49">
        <f t="shared" si="25"/>
        <v>3220.0000000000005</v>
      </c>
      <c r="J74" s="49">
        <f>+$E$72/5</f>
        <v>0</v>
      </c>
      <c r="K74" s="49"/>
      <c r="L74" s="49"/>
      <c r="M74" s="49"/>
      <c r="N74" s="49"/>
      <c r="O74" s="49"/>
      <c r="P74" s="49"/>
      <c r="Q74" s="49"/>
    </row>
    <row r="75" spans="1:18" hidden="1" outlineLevel="1" x14ac:dyDescent="0.3">
      <c r="E75" s="49">
        <f>+$F$73/6</f>
        <v>0</v>
      </c>
      <c r="F75" s="49">
        <f t="shared" ref="F75:H75" si="26">+$F$73/6</f>
        <v>0</v>
      </c>
      <c r="G75" s="49">
        <f t="shared" si="26"/>
        <v>0</v>
      </c>
      <c r="H75" s="49">
        <f t="shared" si="26"/>
        <v>0</v>
      </c>
      <c r="I75" s="49">
        <f>+$I$72/3</f>
        <v>0</v>
      </c>
      <c r="J75" s="49">
        <f>+$I$72/3</f>
        <v>0</v>
      </c>
      <c r="K75" s="49">
        <f>+$J$72/3</f>
        <v>2683.3333333333335</v>
      </c>
      <c r="L75" s="49">
        <f>+$J$72/3</f>
        <v>2683.3333333333335</v>
      </c>
      <c r="M75" s="49">
        <f>+$J$72/3</f>
        <v>2683.3333333333335</v>
      </c>
    </row>
    <row r="76" spans="1:18" hidden="1" outlineLevel="1" x14ac:dyDescent="0.3">
      <c r="E76" s="49"/>
      <c r="F76" s="49">
        <f>+$G$73/6</f>
        <v>0</v>
      </c>
      <c r="G76" s="49">
        <f>+$G$73/6</f>
        <v>0</v>
      </c>
      <c r="H76" s="49">
        <f>+$G$73/6</f>
        <v>0</v>
      </c>
      <c r="I76" s="49">
        <f>+$G$73/6</f>
        <v>0</v>
      </c>
      <c r="J76" s="49">
        <f>+$G$73/6</f>
        <v>0</v>
      </c>
      <c r="K76" s="49"/>
      <c r="M76" s="2">
        <f>+$M$72/3</f>
        <v>427.77777777777783</v>
      </c>
      <c r="N76" s="2">
        <f t="shared" ref="N76:O76" si="27">+$M$72/3</f>
        <v>427.77777777777783</v>
      </c>
      <c r="O76" s="2">
        <f t="shared" si="27"/>
        <v>427.77777777777783</v>
      </c>
    </row>
    <row r="77" spans="1:18" hidden="1" outlineLevel="1" x14ac:dyDescent="0.3">
      <c r="E77" s="49"/>
      <c r="F77" s="49"/>
      <c r="G77" s="49">
        <f>+$H$73/4</f>
        <v>0</v>
      </c>
      <c r="H77" s="49">
        <f>+$H$73/4</f>
        <v>0</v>
      </c>
      <c r="I77" s="49">
        <f>+$H$73/4</f>
        <v>0</v>
      </c>
      <c r="J77" s="49">
        <f>+$H$73/4</f>
        <v>0</v>
      </c>
      <c r="K77" s="49"/>
    </row>
    <row r="78" spans="1:18" hidden="1" outlineLevel="1" x14ac:dyDescent="0.3"/>
    <row r="79" spans="1:18" collapsed="1" x14ac:dyDescent="0.3"/>
    <row r="80" spans="1:18" ht="15.6" hidden="1" x14ac:dyDescent="0.3">
      <c r="B80" s="90" t="s">
        <v>75</v>
      </c>
      <c r="E80" s="93">
        <f>1/13</f>
        <v>7.6923076923076927E-2</v>
      </c>
      <c r="F80" s="93">
        <f>+E80+1/13</f>
        <v>0.15384615384615385</v>
      </c>
      <c r="G80" s="93">
        <f t="shared" ref="G80:Q80" si="28">+F80+1/13</f>
        <v>0.23076923076923078</v>
      </c>
      <c r="H80" s="93">
        <f t="shared" si="28"/>
        <v>0.30769230769230771</v>
      </c>
      <c r="I80" s="93">
        <f t="shared" si="28"/>
        <v>0.38461538461538464</v>
      </c>
      <c r="J80" s="93">
        <f t="shared" si="28"/>
        <v>0.46153846153846156</v>
      </c>
      <c r="K80" s="93">
        <f t="shared" si="28"/>
        <v>0.53846153846153855</v>
      </c>
      <c r="L80" s="93">
        <f t="shared" si="28"/>
        <v>0.61538461538461542</v>
      </c>
      <c r="M80" s="93">
        <f t="shared" si="28"/>
        <v>0.69230769230769229</v>
      </c>
      <c r="N80" s="93">
        <f t="shared" si="28"/>
        <v>0.76923076923076916</v>
      </c>
      <c r="O80" s="93">
        <f t="shared" si="28"/>
        <v>0.84615384615384603</v>
      </c>
      <c r="P80" s="93">
        <f t="shared" si="28"/>
        <v>0.92307692307692291</v>
      </c>
      <c r="Q80" s="93">
        <f t="shared" si="28"/>
        <v>0.99999999999999978</v>
      </c>
    </row>
    <row r="81" spans="2:17" ht="15.6" hidden="1" x14ac:dyDescent="0.3">
      <c r="B81" s="89" t="s">
        <v>72</v>
      </c>
      <c r="D81" s="92">
        <f>+D53/(1+$D$85)^(D$80)</f>
        <v>460000</v>
      </c>
      <c r="E81" s="92">
        <f>+E53/(1+$D$85)^(E$80)</f>
        <v>306285.70795453305</v>
      </c>
      <c r="F81" s="92">
        <f t="shared" ref="F81:Q81" si="29">+F53/(1+$D$85)^(F$80)</f>
        <v>158268.32193025106</v>
      </c>
      <c r="G81" s="92">
        <f t="shared" si="29"/>
        <v>13381.511646142473</v>
      </c>
      <c r="H81" s="92">
        <f t="shared" si="29"/>
        <v>87201.671946317292</v>
      </c>
      <c r="I81" s="92">
        <f t="shared" si="29"/>
        <v>159441.53483579532</v>
      </c>
      <c r="J81" s="92">
        <f t="shared" si="29"/>
        <v>11523.316340463465</v>
      </c>
      <c r="K81" s="92">
        <f t="shared" si="29"/>
        <v>66106.062258228398</v>
      </c>
      <c r="L81" s="92">
        <f t="shared" si="29"/>
        <v>119520.14744218209</v>
      </c>
      <c r="M81" s="92">
        <f t="shared" si="29"/>
        <v>12535.299927191187</v>
      </c>
      <c r="N81" s="92">
        <f t="shared" si="29"/>
        <v>55258.737123136634</v>
      </c>
      <c r="O81" s="92">
        <f t="shared" si="29"/>
        <v>43773.328166674924</v>
      </c>
      <c r="P81" s="92">
        <f t="shared" si="29"/>
        <v>81246.271713562528</v>
      </c>
      <c r="Q81" s="92">
        <f t="shared" si="29"/>
        <v>117912.78848694185</v>
      </c>
    </row>
    <row r="82" spans="2:17" ht="15.6" hidden="1" x14ac:dyDescent="0.3">
      <c r="B82" s="90" t="s">
        <v>73</v>
      </c>
      <c r="E82" s="8">
        <f>+E81</f>
        <v>306285.70795453305</v>
      </c>
    </row>
    <row r="83" spans="2:17" ht="15.6" hidden="1" x14ac:dyDescent="0.3">
      <c r="B83" s="91" t="s">
        <v>74</v>
      </c>
    </row>
    <row r="84" spans="2:17" ht="15" hidden="1" thickBot="1" x14ac:dyDescent="0.35"/>
    <row r="85" spans="2:17" ht="15.6" hidden="1" x14ac:dyDescent="0.3">
      <c r="B85" s="82" t="s">
        <v>68</v>
      </c>
      <c r="C85" s="83"/>
      <c r="D85" s="83">
        <v>0.15</v>
      </c>
    </row>
    <row r="86" spans="2:17" ht="15.6" hidden="1" x14ac:dyDescent="0.3">
      <c r="B86" s="84" t="s">
        <v>69</v>
      </c>
      <c r="C86" s="85"/>
      <c r="D86" s="85">
        <f>+SUM(D76:I76)</f>
        <v>0</v>
      </c>
    </row>
    <row r="87" spans="2:17" ht="15.6" hidden="1" x14ac:dyDescent="0.3">
      <c r="B87" s="84" t="s">
        <v>70</v>
      </c>
      <c r="C87" s="86"/>
      <c r="D87" s="86">
        <f>+SUM(C78:I78)</f>
        <v>0</v>
      </c>
    </row>
    <row r="88" spans="2:17" ht="16.2" hidden="1" thickBot="1" x14ac:dyDescent="0.35">
      <c r="B88" s="87" t="s">
        <v>71</v>
      </c>
      <c r="C88" s="88"/>
      <c r="D88" s="88">
        <f>+D87*12</f>
        <v>0</v>
      </c>
    </row>
    <row r="89" spans="2:17" hidden="1" x14ac:dyDescent="0.3"/>
  </sheetData>
  <mergeCells count="6">
    <mergeCell ref="D8:K8"/>
    <mergeCell ref="L8:Q8"/>
    <mergeCell ref="R8:R9"/>
    <mergeCell ref="D57:K57"/>
    <mergeCell ref="L57:Q57"/>
    <mergeCell ref="R57:R58"/>
  </mergeCells>
  <phoneticPr fontId="4" type="noConversion"/>
  <conditionalFormatting sqref="E66:R66">
    <cfRule type="cellIs" dxfId="2" priority="3" operator="lessThan">
      <formula>0</formula>
    </cfRule>
  </conditionalFormatting>
  <conditionalFormatting sqref="F53:F55">
    <cfRule type="cellIs" dxfId="1" priority="2" operator="lessThan">
      <formula>0</formula>
    </cfRule>
  </conditionalFormatting>
  <conditionalFormatting sqref="E53:Q53">
    <cfRule type="cellIs" dxfId="0" priority="1" operator="lessThan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374F-C943-4A46-A7A5-154285C39CBF}">
  <dimension ref="B2:H43"/>
  <sheetViews>
    <sheetView showGridLines="0" tabSelected="1" zoomScale="90" zoomScaleNormal="90" workbookViewId="0">
      <selection activeCell="I21" sqref="I21"/>
    </sheetView>
  </sheetViews>
  <sheetFormatPr baseColWidth="10" defaultRowHeight="14.4" x14ac:dyDescent="0.3"/>
  <cols>
    <col min="2" max="2" width="7.21875" bestFit="1" customWidth="1"/>
    <col min="3" max="3" width="45.44140625" customWidth="1"/>
    <col min="4" max="4" width="6.6640625" customWidth="1"/>
    <col min="5" max="5" width="6.77734375" customWidth="1"/>
    <col min="6" max="6" width="8.6640625" customWidth="1"/>
    <col min="7" max="7" width="14" bestFit="1" customWidth="1"/>
  </cols>
  <sheetData>
    <row r="2" spans="2:7" x14ac:dyDescent="0.3">
      <c r="D2" s="139" t="s">
        <v>92</v>
      </c>
      <c r="E2" s="140"/>
      <c r="F2" s="140"/>
      <c r="G2" s="141"/>
    </row>
    <row r="3" spans="2:7" x14ac:dyDescent="0.3">
      <c r="D3" s="133" t="s">
        <v>86</v>
      </c>
      <c r="E3" s="133" t="s">
        <v>87</v>
      </c>
      <c r="F3" s="133" t="s">
        <v>88</v>
      </c>
      <c r="G3" s="133" t="s">
        <v>89</v>
      </c>
    </row>
    <row r="4" spans="2:7" ht="3.6" customHeight="1" x14ac:dyDescent="0.3"/>
    <row r="5" spans="2:7" x14ac:dyDescent="0.3">
      <c r="B5" s="131">
        <v>1</v>
      </c>
      <c r="C5" s="98" t="s">
        <v>79</v>
      </c>
      <c r="D5" s="97"/>
      <c r="E5" s="97"/>
      <c r="F5" s="97"/>
      <c r="G5" s="132">
        <f>+SUM(G7:G12)</f>
        <v>856650</v>
      </c>
    </row>
    <row r="6" spans="2:7" ht="5.4" customHeight="1" x14ac:dyDescent="0.3">
      <c r="B6" s="96"/>
    </row>
    <row r="7" spans="2:7" x14ac:dyDescent="0.3">
      <c r="B7" s="115">
        <v>1.01</v>
      </c>
      <c r="C7" s="112" t="s">
        <v>78</v>
      </c>
      <c r="D7" s="109" t="s">
        <v>90</v>
      </c>
      <c r="E7" s="100">
        <v>13</v>
      </c>
      <c r="F7" s="101">
        <v>30800</v>
      </c>
      <c r="G7" s="101">
        <f>+F7*E7</f>
        <v>400400</v>
      </c>
    </row>
    <row r="8" spans="2:7" x14ac:dyDescent="0.3">
      <c r="B8" s="116">
        <v>1.02</v>
      </c>
      <c r="C8" s="113" t="s">
        <v>3</v>
      </c>
      <c r="D8" s="110" t="s">
        <v>90</v>
      </c>
      <c r="E8" s="102">
        <v>12.5</v>
      </c>
      <c r="F8" s="103">
        <v>9000</v>
      </c>
      <c r="G8" s="103">
        <f t="shared" ref="G8:G12" si="0">+F8*E8</f>
        <v>112500</v>
      </c>
    </row>
    <row r="9" spans="2:7" x14ac:dyDescent="0.3">
      <c r="B9" s="116">
        <v>1.03</v>
      </c>
      <c r="C9" s="113" t="s">
        <v>2</v>
      </c>
      <c r="D9" s="110" t="s">
        <v>90</v>
      </c>
      <c r="E9" s="102">
        <v>12.5</v>
      </c>
      <c r="F9" s="103">
        <v>8500</v>
      </c>
      <c r="G9" s="103">
        <f t="shared" si="0"/>
        <v>106250</v>
      </c>
    </row>
    <row r="10" spans="2:7" x14ac:dyDescent="0.3">
      <c r="B10" s="116">
        <v>1.04</v>
      </c>
      <c r="C10" s="113" t="s">
        <v>1</v>
      </c>
      <c r="D10" s="110" t="s">
        <v>90</v>
      </c>
      <c r="E10" s="102">
        <v>12.5</v>
      </c>
      <c r="F10" s="103">
        <v>6000</v>
      </c>
      <c r="G10" s="103">
        <f t="shared" si="0"/>
        <v>75000</v>
      </c>
    </row>
    <row r="11" spans="2:7" x14ac:dyDescent="0.3">
      <c r="B11" s="116">
        <v>1.05</v>
      </c>
      <c r="C11" s="113" t="s">
        <v>0</v>
      </c>
      <c r="D11" s="110" t="s">
        <v>90</v>
      </c>
      <c r="E11" s="102">
        <v>12.5</v>
      </c>
      <c r="F11" s="103">
        <v>6500</v>
      </c>
      <c r="G11" s="103">
        <f t="shared" si="0"/>
        <v>81250</v>
      </c>
    </row>
    <row r="12" spans="2:7" x14ac:dyDescent="0.3">
      <c r="B12" s="117">
        <v>1.06</v>
      </c>
      <c r="C12" s="114" t="s">
        <v>4</v>
      </c>
      <c r="D12" s="111" t="s">
        <v>90</v>
      </c>
      <c r="E12" s="104">
        <v>12.5</v>
      </c>
      <c r="F12" s="105">
        <v>6500</v>
      </c>
      <c r="G12" s="105">
        <f t="shared" si="0"/>
        <v>81250</v>
      </c>
    </row>
    <row r="13" spans="2:7" ht="12" customHeight="1" x14ac:dyDescent="0.3"/>
    <row r="14" spans="2:7" x14ac:dyDescent="0.3">
      <c r="B14" s="131">
        <v>2</v>
      </c>
      <c r="C14" s="97" t="s">
        <v>80</v>
      </c>
      <c r="D14" s="97"/>
      <c r="E14" s="97"/>
      <c r="F14" s="97"/>
      <c r="G14" s="99">
        <f>+SUM(G16:G30)</f>
        <v>737068.66666666663</v>
      </c>
    </row>
    <row r="15" spans="2:7" ht="5.4" customHeight="1" x14ac:dyDescent="0.3"/>
    <row r="16" spans="2:7" x14ac:dyDescent="0.3">
      <c r="B16" s="118">
        <v>2.0099999999999998</v>
      </c>
      <c r="C16" s="112" t="s">
        <v>8</v>
      </c>
      <c r="D16" s="109" t="s">
        <v>90</v>
      </c>
      <c r="E16" s="100">
        <v>13</v>
      </c>
      <c r="F16" s="101">
        <v>2400</v>
      </c>
      <c r="G16" s="101">
        <f t="shared" ref="G16:G30" si="1">+F16*E16</f>
        <v>31200</v>
      </c>
    </row>
    <row r="17" spans="2:7" x14ac:dyDescent="0.3">
      <c r="B17" s="119">
        <v>2.02</v>
      </c>
      <c r="C17" s="113" t="s">
        <v>7</v>
      </c>
      <c r="D17" s="110" t="s">
        <v>90</v>
      </c>
      <c r="E17" s="102">
        <v>13</v>
      </c>
      <c r="F17" s="103">
        <v>17100</v>
      </c>
      <c r="G17" s="103">
        <f t="shared" si="1"/>
        <v>222300</v>
      </c>
    </row>
    <row r="18" spans="2:7" x14ac:dyDescent="0.3">
      <c r="B18" s="119">
        <v>2.0299999999999998</v>
      </c>
      <c r="C18" s="113" t="s">
        <v>6</v>
      </c>
      <c r="D18" s="110" t="s">
        <v>90</v>
      </c>
      <c r="E18" s="102">
        <v>13</v>
      </c>
      <c r="F18" s="103">
        <v>3365</v>
      </c>
      <c r="G18" s="103">
        <f t="shared" si="1"/>
        <v>43745</v>
      </c>
    </row>
    <row r="19" spans="2:7" x14ac:dyDescent="0.3">
      <c r="B19" s="119">
        <v>2.04</v>
      </c>
      <c r="C19" s="113" t="s">
        <v>17</v>
      </c>
      <c r="D19" s="110" t="s">
        <v>90</v>
      </c>
      <c r="E19" s="102">
        <v>13</v>
      </c>
      <c r="F19" s="103">
        <v>26000</v>
      </c>
      <c r="G19" s="103">
        <f t="shared" si="1"/>
        <v>338000</v>
      </c>
    </row>
    <row r="20" spans="2:7" x14ac:dyDescent="0.3">
      <c r="B20" s="119">
        <v>2.0499999999999998</v>
      </c>
      <c r="C20" s="113" t="s">
        <v>9</v>
      </c>
      <c r="D20" s="110" t="s">
        <v>90</v>
      </c>
      <c r="E20" s="102">
        <v>13</v>
      </c>
      <c r="F20" s="103">
        <v>1250</v>
      </c>
      <c r="G20" s="103">
        <f t="shared" si="1"/>
        <v>16250</v>
      </c>
    </row>
    <row r="21" spans="2:7" x14ac:dyDescent="0.3">
      <c r="B21" s="119">
        <v>2.06</v>
      </c>
      <c r="C21" s="113" t="s">
        <v>10</v>
      </c>
      <c r="D21" s="110" t="s">
        <v>90</v>
      </c>
      <c r="E21" s="102">
        <v>13</v>
      </c>
      <c r="F21" s="103">
        <v>1934.6153846153845</v>
      </c>
      <c r="G21" s="103">
        <f t="shared" si="1"/>
        <v>25150</v>
      </c>
    </row>
    <row r="22" spans="2:7" x14ac:dyDescent="0.3">
      <c r="B22" s="119">
        <v>2.0699999999999998</v>
      </c>
      <c r="C22" s="113" t="s">
        <v>11</v>
      </c>
      <c r="D22" s="110" t="s">
        <v>90</v>
      </c>
      <c r="E22" s="102">
        <v>13</v>
      </c>
      <c r="F22" s="103">
        <v>900</v>
      </c>
      <c r="G22" s="103">
        <f t="shared" si="1"/>
        <v>11700</v>
      </c>
    </row>
    <row r="23" spans="2:7" x14ac:dyDescent="0.3">
      <c r="B23" s="119">
        <v>2.08</v>
      </c>
      <c r="C23" s="113" t="s">
        <v>12</v>
      </c>
      <c r="D23" s="110" t="s">
        <v>91</v>
      </c>
      <c r="E23" s="102">
        <v>1</v>
      </c>
      <c r="F23" s="103">
        <v>11000</v>
      </c>
      <c r="G23" s="103">
        <f t="shared" si="1"/>
        <v>11000</v>
      </c>
    </row>
    <row r="24" spans="2:7" x14ac:dyDescent="0.3">
      <c r="B24" s="119">
        <v>2.09</v>
      </c>
      <c r="C24" s="113" t="s">
        <v>13</v>
      </c>
      <c r="D24" s="110" t="s">
        <v>91</v>
      </c>
      <c r="E24" s="102">
        <v>1</v>
      </c>
      <c r="F24" s="103">
        <v>469</v>
      </c>
      <c r="G24" s="103">
        <f t="shared" si="1"/>
        <v>469</v>
      </c>
    </row>
    <row r="25" spans="2:7" x14ac:dyDescent="0.3">
      <c r="B25" s="119">
        <v>2.1</v>
      </c>
      <c r="C25" s="113" t="s">
        <v>14</v>
      </c>
      <c r="D25" s="110" t="s">
        <v>91</v>
      </c>
      <c r="E25" s="102">
        <v>1</v>
      </c>
      <c r="F25" s="103">
        <v>430</v>
      </c>
      <c r="G25" s="103">
        <f t="shared" si="1"/>
        <v>430</v>
      </c>
    </row>
    <row r="26" spans="2:7" x14ac:dyDescent="0.3">
      <c r="B26" s="119">
        <v>2.11</v>
      </c>
      <c r="C26" s="113" t="s">
        <v>15</v>
      </c>
      <c r="D26" s="110" t="s">
        <v>91</v>
      </c>
      <c r="E26" s="102">
        <v>1</v>
      </c>
      <c r="F26" s="103">
        <v>618</v>
      </c>
      <c r="G26" s="103">
        <f t="shared" si="1"/>
        <v>618</v>
      </c>
    </row>
    <row r="27" spans="2:7" x14ac:dyDescent="0.3">
      <c r="B27" s="119">
        <v>2.12</v>
      </c>
      <c r="C27" s="113" t="s">
        <v>16</v>
      </c>
      <c r="D27" s="110" t="s">
        <v>91</v>
      </c>
      <c r="E27" s="102">
        <v>1</v>
      </c>
      <c r="F27" s="103">
        <v>500</v>
      </c>
      <c r="G27" s="103">
        <f t="shared" si="1"/>
        <v>500</v>
      </c>
    </row>
    <row r="28" spans="2:7" x14ac:dyDescent="0.3">
      <c r="B28" s="119">
        <v>2.13</v>
      </c>
      <c r="C28" s="113" t="s">
        <v>5</v>
      </c>
      <c r="D28" s="110" t="s">
        <v>90</v>
      </c>
      <c r="E28" s="102">
        <v>13</v>
      </c>
      <c r="F28" s="103">
        <v>1800</v>
      </c>
      <c r="G28" s="103">
        <f t="shared" si="1"/>
        <v>23400</v>
      </c>
    </row>
    <row r="29" spans="2:7" x14ac:dyDescent="0.3">
      <c r="B29" s="119">
        <v>2.14</v>
      </c>
      <c r="C29" s="113" t="s">
        <v>51</v>
      </c>
      <c r="D29" s="110" t="s">
        <v>90</v>
      </c>
      <c r="E29" s="102">
        <v>13</v>
      </c>
      <c r="F29" s="103">
        <v>166.66666666666666</v>
      </c>
      <c r="G29" s="103">
        <f t="shared" si="1"/>
        <v>2166.6666666666665</v>
      </c>
    </row>
    <row r="30" spans="2:7" x14ac:dyDescent="0.3">
      <c r="B30" s="120">
        <v>2.15</v>
      </c>
      <c r="C30" s="114" t="s">
        <v>52</v>
      </c>
      <c r="D30" s="111" t="s">
        <v>90</v>
      </c>
      <c r="E30" s="104">
        <v>13</v>
      </c>
      <c r="F30" s="105">
        <v>780</v>
      </c>
      <c r="G30" s="105">
        <f t="shared" si="1"/>
        <v>10140</v>
      </c>
    </row>
    <row r="31" spans="2:7" ht="12" customHeight="1" x14ac:dyDescent="0.3"/>
    <row r="32" spans="2:7" x14ac:dyDescent="0.3">
      <c r="B32" s="97"/>
      <c r="C32" s="98" t="s">
        <v>81</v>
      </c>
      <c r="D32" s="97"/>
      <c r="E32" s="97"/>
      <c r="F32" s="97"/>
      <c r="G32" s="99">
        <f>+G5+G14</f>
        <v>1593718.6666666665</v>
      </c>
    </row>
    <row r="33" spans="2:8" s="124" customFormat="1" ht="3.6" customHeight="1" x14ac:dyDescent="0.3">
      <c r="B33" s="121"/>
      <c r="C33" s="122"/>
      <c r="D33" s="121"/>
      <c r="E33" s="121"/>
      <c r="F33" s="121"/>
      <c r="G33" s="123"/>
    </row>
    <row r="34" spans="2:8" x14ac:dyDescent="0.3">
      <c r="C34" s="108" t="s">
        <v>82</v>
      </c>
      <c r="D34" s="106"/>
      <c r="E34" s="106"/>
      <c r="F34" s="106"/>
      <c r="G34" s="107">
        <v>178320.78110917681</v>
      </c>
      <c r="H34" s="8"/>
    </row>
    <row r="35" spans="2:8" x14ac:dyDescent="0.3">
      <c r="C35" s="108" t="s">
        <v>83</v>
      </c>
      <c r="D35" s="106"/>
      <c r="E35" s="106"/>
      <c r="F35" s="106"/>
      <c r="G35" s="107">
        <v>135599.70675998289</v>
      </c>
    </row>
    <row r="36" spans="2:8" s="124" customFormat="1" ht="5.4" customHeight="1" x14ac:dyDescent="0.3">
      <c r="C36" s="125"/>
      <c r="D36" s="126"/>
      <c r="E36" s="126"/>
      <c r="F36" s="126"/>
      <c r="G36" s="127"/>
    </row>
    <row r="37" spans="2:8" x14ac:dyDescent="0.3">
      <c r="B37" s="97"/>
      <c r="C37" s="97" t="s">
        <v>84</v>
      </c>
      <c r="D37" s="97"/>
      <c r="E37" s="97"/>
      <c r="F37" s="97"/>
      <c r="G37" s="99">
        <f>+G32+G34+G35</f>
        <v>1907639.1545358263</v>
      </c>
    </row>
    <row r="38" spans="2:8" s="124" customFormat="1" ht="4.8" customHeight="1" x14ac:dyDescent="0.3">
      <c r="B38" s="121"/>
      <c r="C38" s="121"/>
      <c r="D38" s="121"/>
      <c r="E38" s="121"/>
      <c r="F38" s="121"/>
      <c r="G38" s="123"/>
    </row>
    <row r="39" spans="2:8" x14ac:dyDescent="0.3">
      <c r="C39" s="108" t="s">
        <v>31</v>
      </c>
      <c r="D39" s="106"/>
      <c r="E39" s="106"/>
      <c r="F39" s="106"/>
      <c r="G39" s="107">
        <v>343375.04781644873</v>
      </c>
    </row>
    <row r="40" spans="2:8" s="124" customFormat="1" ht="3.6" customHeight="1" x14ac:dyDescent="0.3">
      <c r="C40" s="125"/>
      <c r="D40" s="126"/>
      <c r="E40" s="126"/>
      <c r="F40" s="126"/>
      <c r="G40" s="127"/>
    </row>
    <row r="41" spans="2:8" ht="22.8" customHeight="1" x14ac:dyDescent="0.3">
      <c r="B41" s="97"/>
      <c r="C41" s="128" t="s">
        <v>85</v>
      </c>
      <c r="D41" s="129"/>
      <c r="E41" s="129"/>
      <c r="F41" s="129"/>
      <c r="G41" s="130">
        <f>+G39+G37</f>
        <v>2251014.2023522751</v>
      </c>
    </row>
    <row r="43" spans="2:8" x14ac:dyDescent="0.3">
      <c r="G43" s="8"/>
    </row>
  </sheetData>
  <mergeCells count="1">
    <mergeCell ref="D2:G2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5A6A4-F559-4468-9EAE-6F9568C294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6953B0-E9FC-4BE9-BF96-CFA891CBC03E}">
  <ds:schemaRefs>
    <ds:schemaRef ds:uri="http://schemas.microsoft.com/office/2006/metadata/properties"/>
    <ds:schemaRef ds:uri="http://schemas.microsoft.com/office/infopath/2007/PartnerControls"/>
    <ds:schemaRef ds:uri="1f5c5935-8f9a-4b33-911b-ecb2aa7661d0"/>
    <ds:schemaRef ds:uri="5aca583f-226f-4f5c-9da2-b173a01a4489"/>
  </ds:schemaRefs>
</ds:datastoreItem>
</file>

<file path=customXml/itemProps3.xml><?xml version="1.0" encoding="utf-8"?>
<ds:datastoreItem xmlns:ds="http://schemas.openxmlformats.org/officeDocument/2006/customXml" ds:itemID="{A637AB77-583C-4F2E-B406-5590AB956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FC</vt:lpstr>
      <vt:lpstr>Formato Casma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José Miguel Mazuré</cp:lastModifiedBy>
  <dcterms:created xsi:type="dcterms:W3CDTF">2022-04-28T20:59:35Z</dcterms:created>
  <dcterms:modified xsi:type="dcterms:W3CDTF">2022-05-20T15:34:50Z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